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5120" windowHeight="801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<sst xmlns="http://schemas.openxmlformats.org/spreadsheetml/2006/main" count="474" uniqueCount="152">
  <si>
    <t>Код главного распорядителя средств местного бюджета</t>
  </si>
  <si>
    <t>Наименование и расчет показателя</t>
  </si>
  <si>
    <t>Оценка показателя</t>
  </si>
  <si>
    <t>Единица изме-рения</t>
  </si>
  <si>
    <t xml:space="preserve">Вес группы в оценке/
показа-теля
в группе (в %)
</t>
  </si>
  <si>
    <t>Номер показа-теля</t>
  </si>
  <si>
    <t>Ответственный исполнитель</t>
  </si>
  <si>
    <t>Фактическое значение показателя</t>
  </si>
  <si>
    <t>1.</t>
  </si>
  <si>
    <t>Среднесрочное финансовое планирование</t>
  </si>
  <si>
    <t>1.1</t>
  </si>
  <si>
    <t>1.2</t>
  </si>
  <si>
    <t>Своевременность внесения изменений в муниципальные программы города Волгодонска в соответствии с  порядком разработки,  реализации и оценки эффективности муниципальных программ
Р – количество отклонений от установленного срока в соответствии с порядком разработки,  реализации и оценки эффективности муниципальных программ</t>
  </si>
  <si>
    <t>шт.</t>
  </si>
  <si>
    <r>
      <t>Бюджетный отдел</t>
    </r>
    <r>
      <rPr>
        <sz val="11"/>
        <color indexed="8"/>
        <rFont val="Times New Roman"/>
        <family val="1"/>
      </rPr>
      <t xml:space="preserve"> </t>
    </r>
  </si>
  <si>
    <t xml:space="preserve">Количество изменений в решение о бюджете, подготовленных по инициативе ГРБС 
Р – количество изменений в решение о бюджете.
Не учитываются изменения, вызванные:
 - поступлением, перераспределением федеральных, областных средств; 
- распределением зарезервированных средств; 
- уточнением бюджетной классификации в связи с изменением действующего законодательства
</t>
  </si>
  <si>
    <t xml:space="preserve">E(P) = 1, в случае если внесены 3 и менее поправок в решение о бюджете по инициативе ГРБС
E(P) = 0, в случае если внесены более 3 поправок в решение о бюджете по инициативе ГРБС
</t>
  </si>
  <si>
    <t>2.</t>
  </si>
  <si>
    <t>Исполнение бюджета в части расходов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</si>
  <si>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</si>
  <si>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</si>
  <si>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</si>
  <si>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</si>
  <si>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</si>
  <si>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</si>
  <si>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</si>
  <si>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</si>
  <si>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</si>
  <si>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E(P) = 1, если Р &lt; 5%;
E(P) = 0, если Р &gt; 5%
</t>
  </si>
  <si>
    <t>%</t>
  </si>
  <si>
    <t xml:space="preserve">Равномерность расходов в отчетном финансовом году
P = (Е – Еср)х100/Еср, где
Е – кассовые расходы в IV квартале отчетного периода;
Еср – средний объем кассовых расходов за I-III квартал отчетного периода
</t>
  </si>
  <si>
    <t xml:space="preserve"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
Р = (Nв/Nо)х100, где
Nв - количество учреждений, выполнивших муниципальное задание на 100%;
Nо - общее количество учреждений, которым установлены муниципальные задания
</t>
  </si>
  <si>
    <t xml:space="preserve">Для ГРБС, которые устанавливают муниципальные задания для подведомственных учреждений:
Е (Р) = 1, если Р = 100%,
Е (Р) = 0, если Р &lt; 100%.
</t>
  </si>
  <si>
    <t>Доля неисполненных на конец отчетного финансового года бюджетных ассигнований
Р = 100 х (b – E)/b, где
b – объем бюджетных ассигнований ГРБС в отчетном финансовом году согласно сводной бюджетной росписи местного бюджета с учетом внесенных в нее изменений;
Е  - кассовое исполнение расходов ГРБС в отчетном финансовом году</t>
  </si>
  <si>
    <t xml:space="preserve">Объем просроченной кредиторской задолженности
P = Oкр, где
Oкр - объем просроченной кредиторской задолженности на отчетную дату
</t>
  </si>
  <si>
    <t xml:space="preserve">Е(Р) = 1, при отсутствии просроченной кредиторской задолженности.
При наличии просроченной кредиторской задолженности оценка показателя Е(Р) = 0
</t>
  </si>
  <si>
    <t>тыс. руб.</t>
  </si>
  <si>
    <t xml:space="preserve">Отдел учета исполнения бюджета </t>
  </si>
  <si>
    <t xml:space="preserve">Эффективность управления кредиторской задолженностью по расчетам с поставщиками и подрядчиками
Р = 100хК/Е, где
К – объем кредиторской задолженности по расчетам с поставщиками и подрядчиками по состоянию на 1 января года, следующего за отчетным;
Е  - кассовое исполнение расходов за отчетный финансовый год
</t>
  </si>
  <si>
    <t xml:space="preserve">E(P) = 1, если Р &lt; 1,5%;
E(P) = 0, если Р &gt; 1,5%
</t>
  </si>
  <si>
    <t xml:space="preserve">Качество Порядка составления, утверждения и ведения бюджетных смет участников бюджетного процесса
Наличие правового акта ГРБС, содержащего:
1) процедуры составления, ведения и утверждения бюджетных смет, применяемые как к ГРБС, так и к подведомственным участникам бюджетного процесса;
2) процедуры составления и представления расчетов (обоснований) к бюджетным сметам
</t>
  </si>
  <si>
    <t xml:space="preserve">E(P) = 1, если правовой акт ГРБС полностью соответствует требованиям 1) –2) настоящего пункта;
E(P) = 0,5, если правовой акт ГРБС полностью или частично не соответствует хотя бы одному из требований 1) –2) настоящего пункта;
E(P) = 0, если правовой акт ГРБС не соответствует двум и более требованиям 1) – 2) настоящего пункта
</t>
  </si>
  <si>
    <t xml:space="preserve">Несоответствие заявок на оплату расходов, представленных в Финансовое управление города Волгодонска, требованиям бюджетного законодательства
P = 100хN0/N, где
N0 – количество заявок ГРБС, отказанных Финансовым управлением города Волгодонска и по итогам проведения процедуры санкционирования;
N – общее количество заявок, представленных ГРБС в Финансовое управление города Волгодонска в отчетном периоде
</t>
  </si>
  <si>
    <t xml:space="preserve">E(P) = 1,  если P ≤ 0,1 %;
E(P) = 0,8, если P &gt; 0,1 % и ≤ 0,5 %;
E(P) = 0,5, если P &gt; 0,5 % и ≤ 2 %;
E(P) = 0,2, если P &gt; 2 % и ≤ 5 %;
E(P) = 0, если P &gt; 5 %
</t>
  </si>
  <si>
    <t xml:space="preserve">Отдел санкционирования </t>
  </si>
  <si>
    <t xml:space="preserve">Е = SUM Ei/n, где
n =7,
Ei - равно 1, если показатель описывается в правовом акте;
Ei - равно 0, если показатель не описывается в правовом акте.
</t>
  </si>
  <si>
    <t>3.</t>
  </si>
  <si>
    <t>Исполнение бюджета по доходам</t>
  </si>
  <si>
    <t>3.1.</t>
  </si>
  <si>
    <t>3.2.</t>
  </si>
  <si>
    <t xml:space="preserve">Отклонение от плана формирования налоговых и неналоговых доходов по главному администратору доходов местного бюджета
</t>
  </si>
  <si>
    <t>если</t>
  </si>
  <si>
    <t>плановые объемы налоговых и неналоговых доходов по главному администратору доходов местного бюджета;</t>
  </si>
  <si>
    <t>кассовое исполнение по налоговым и неналоговым доходам  в отчетном периоде</t>
  </si>
  <si>
    <t xml:space="preserve">Сектор доходов </t>
  </si>
  <si>
    <t xml:space="preserve">Е (Р) = 1, если </t>
  </si>
  <si>
    <t xml:space="preserve"> при условии наличия фактических поступлений по прочим неналоговым доходам и поступлениям, носящим разовый характер</t>
  </si>
  <si>
    <t>Эффективность управления дебиторской задолженностью по расчетам с дебиторами по доходам</t>
  </si>
  <si>
    <t xml:space="preserve">E(P) = 1, если P &lt;  50%,
E(P) = 0, если P &gt; 50%
</t>
  </si>
  <si>
    <t xml:space="preserve">            - объем дебиторской задолженности по доходам по состоянию на 1 января года, следующего за отчетным;</t>
  </si>
  <si>
    <t xml:space="preserve">                                , где</t>
  </si>
  <si>
    <t xml:space="preserve">              кассовое исполнение по доходам в отчетном финансовом году</t>
  </si>
  <si>
    <t>Учет и отчетность</t>
  </si>
  <si>
    <t>4.</t>
  </si>
  <si>
    <t>4.1.</t>
  </si>
  <si>
    <t>4.2.</t>
  </si>
  <si>
    <t xml:space="preserve">Качество формирования ГРБС бюджетной отчетности и бухгалтерской отчетности муниципальных автономных и бюджетных учреждений
При сдаче отчетности в Финансовое управление города Волгодонска
 отсутствуют протоколы ошибок
</t>
  </si>
  <si>
    <t xml:space="preserve">E(P) = 1, если ошибки отсутствуют;
E(P) = 0,5, если ошибки допущены 1 раз и исправлены в соответствии с протоколом ошибок;
E(P) = 0, если ошибки допущены более одного раза и (или) направлено более двух электронных версий
</t>
  </si>
  <si>
    <t xml:space="preserve">E(P)=1, в случае если нарушений не выявлено;
E(P)=0,8, в случае если выявлено 1 нарушение;
E(P)=0, в случае если выявлены более 1 нарушения
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</si>
  <si>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
Отчетность представлена в сроки,  установленные приказом Финансового управления города Волгодонска</t>
  </si>
  <si>
    <t xml:space="preserve">E(P) = 1, сроки соблюдены;
E(P) = 0, сроки не соблюдены
</t>
  </si>
  <si>
    <t xml:space="preserve">Контроль </t>
  </si>
  <si>
    <t>5.</t>
  </si>
  <si>
    <t xml:space="preserve">Осуществление мероприятий внутреннего муниципального финансового контроля
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финансового
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финансового контроля»), содержание которой функционально соответствует характеристикам внутреннего государственного финансового контроля, указанным в комментарии
</t>
  </si>
  <si>
    <t>5.1.</t>
  </si>
  <si>
    <t>5.2.</t>
  </si>
  <si>
    <t>5.3.</t>
  </si>
  <si>
    <t>5.4.</t>
  </si>
  <si>
    <t>5.5.</t>
  </si>
  <si>
    <t>5.7.</t>
  </si>
  <si>
    <t>5.8.</t>
  </si>
  <si>
    <t>5.9.</t>
  </si>
  <si>
    <t xml:space="preserve">E(P) = 1, если таблица «Сведения о результатах мероприятий внутреннего государственного финансового контроля» заполнена; 
E(P) = 0, если таблица «Сведения о результатах мероприятий внутреннего государственного финансового контроля» не заполнена. 
</t>
  </si>
  <si>
    <t>Динамика нарушений, выявленных в ходе внешнего муниципального финансового контроля</t>
  </si>
  <si>
    <t xml:space="preserve">                                                  ,где</t>
  </si>
  <si>
    <t xml:space="preserve">             количество нарушений, выявленных в ходе внешнего муниципального финансового контроля, по состоянию на 1 января отчетного года, определяемое в соответствии с таблицей «Сведения о результатах внешнего государственного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Федерации;</t>
  </si>
  <si>
    <t xml:space="preserve">           количество нарушений, выявленных в ходе внешних контрольных мероприятий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финансового контроля»</t>
  </si>
  <si>
    <t>В случае отсутствия нарушений за отчетный финансовый год Е(Р) = 1</t>
  </si>
  <si>
    <t>Проведение инвентаризаций
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Федерации, в части выявленных расхождений, либо информации о проведении инвентаризации в текстовой части пояснительной записки</t>
  </si>
  <si>
    <t xml:space="preserve">E(P) = 1, при наличии факта проведения инвентаризации;
E(P) = 0, при отсутствии факта проведения инвентаризации
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</si>
  <si>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учреждений
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учреждений</t>
  </si>
  <si>
    <t xml:space="preserve">E(P) = 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учреждений;
E(P) = 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учреждений.
</t>
  </si>
  <si>
    <t>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ГРБС и подведомственными ему муниципальными учреждениями, в т.ч. требующих возврата  предоставленных средств и возмещение причиненного ущерба
Наличие нарушений бюджетного законодательства и законодательства в сфере закупок, допущенных ГРБС и подведомственными ему муниципальными учреждениями в отчетном финансовом году, в отношении которых проводились контрольные мероприятия</t>
  </si>
  <si>
    <t xml:space="preserve">E(P) = 1 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</t>
  </si>
  <si>
    <t>Отдел санкционирования</t>
  </si>
  <si>
    <t>5.6</t>
  </si>
  <si>
    <t>Наличие факта неправомерного использования бюджетных средств (нецелевое использование)
 Р - наличие факта неправомерного использования бюджетных средств (нецелевое использование), выявленного по результатам проверки, наличие административного наказания</t>
  </si>
  <si>
    <t xml:space="preserve">Е(Р) = 0, если Р &gt;0;
Е(Р) = 1, если Р = 0
</t>
  </si>
  <si>
    <t>Наличие нарушений при планировании закупок
Р - наличие нарушений при планировании закупок</t>
  </si>
  <si>
    <t xml:space="preserve">Нарушение срока оплаты товаров (работ, услуг) при осуществлении закупок для обеспечения муниципальных нужд 
Р - наличие нарушения срока оплаты товаров (работ, услуг) при осуществлении закупок для обеспечения муниципальных нужд </t>
  </si>
  <si>
    <t xml:space="preserve">Неприменение мер ответственности к поставщику (подрядчику, исполнителю) в случае неисполнения либо ненадлежащего исполнения обязательств, предусмотренных контрактом
P = 100хN0/N, где
N0 – количество случаев применения мер ответственности к поставщику (подрядчику, исполнителю) в случае неисполнения либо ненадлежащего исполнения обязательств, предусмотренных контрактом;
N – общее количество случаев неисполнения либо ненадлежащего исполнения обязательств, предусмотренных контрактом
</t>
  </si>
  <si>
    <t xml:space="preserve">E(P) = 1,  если P =100 %;
E(P) = 0,5, если P ≥ 50 % и &lt; 100 %;
E(P) = 0, если P &lt; 50 %
</t>
  </si>
  <si>
    <t>Исполнение судебных актов</t>
  </si>
  <si>
    <t>6.</t>
  </si>
  <si>
    <t xml:space="preserve">Иски о возмещении ущерба (в денежном выражении)
Р = 100хSu / Sp, где
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лиц;
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
</t>
  </si>
  <si>
    <t>6.1.</t>
  </si>
  <si>
    <t>6.2.</t>
  </si>
  <si>
    <t xml:space="preserve">Иски о взыскании задолженности (в денежном выражении)
Р = 100хSu / Sp, где
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учреждений;
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учреждений
</t>
  </si>
  <si>
    <t>6.3.</t>
  </si>
  <si>
    <t xml:space="preserve">Иски по денежным обязательствам получателей средств местного бюджета (в денежном выражении)
Р = 100х Su / Sp, где
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 казенных учреждений, подведомственных ГРБС, по принятым ими как получателями бюджетных средств денежным обязательствам;
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 казенных учреждений, подведомственных ГРБС, по принятым ими как получателями бюджетных средств денежным обязательствам 
</t>
  </si>
  <si>
    <t>6.4.</t>
  </si>
  <si>
    <t xml:space="preserve">Сумма, подлежащая взысканию по исполнительным документам
Р = 100хS/Е, где
S – cумма, взысканная по поступившим с начала финансового года исполнительным документам за счет средств местного бюджета  по состоянию на конец отчетного периода;
Е - кассовое исполнение расходов ГРБС в отчетном периоде
</t>
  </si>
  <si>
    <t xml:space="preserve">
E(P) = 1, если S = 0</t>
  </si>
  <si>
    <t>Кадровый потенциал финансового (финансово-экономического) подразделения ГРБС</t>
  </si>
  <si>
    <t>7.</t>
  </si>
  <si>
    <t>7.1.</t>
  </si>
  <si>
    <t>Повышение квалификации сотрудников финансового (финансово-экономического) подразделения аппарата ГРБС</t>
  </si>
  <si>
    <t xml:space="preserve"> где                 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лет;
</t>
  </si>
  <si>
    <t xml:space="preserve">            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 (за исключением сотрудников, находящихся в декретном отпуске и вновь принятых на работу в отчетном периоде)</t>
  </si>
  <si>
    <t>Укомплектованность  финансового (финансово-экономического) подразделения центрального аппарата ГРБС</t>
  </si>
  <si>
    <t>7.2.</t>
  </si>
  <si>
    <r>
      <t xml:space="preserve">где
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года; 
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  </r>
  </si>
  <si>
    <t>Управление активами</t>
  </si>
  <si>
    <t>8</t>
  </si>
  <si>
    <t>8.1.</t>
  </si>
  <si>
    <t>Динамика объема материальных запасов</t>
  </si>
  <si>
    <t xml:space="preserve">Приложение №7
к Положению об организации проведения мониторинга качества финансового менеджмента, осуществляемого главными распорядителями средств местного бюджета
</t>
  </si>
  <si>
    <t xml:space="preserve">Своевременность заключения муниципальных контрактов на поставки товаров, оказание услуг, выполнение работ для муниципальных нужд
P = Qз.контр./Qдов.лим. х100, где: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за 9 месяцев отчетного финансового года;
Q дов.лим. - объем доведенных лимитов бюджетных обязательств до ГРБС на поставку товаров, оказание услуг, выполнение работ для муниципальных нужд за 9 месяцев отчетного финансового года
</t>
  </si>
  <si>
    <t>Расчет оценки показателя</t>
  </si>
  <si>
    <t xml:space="preserve">где          - стоимость материальных запасов ГРБС по состоянию на 1 января отчетного финансового года; 
                - стоимость материальных запасов ГРБС по состоянию на 1 января года, следующего за отчетным
</t>
  </si>
  <si>
    <t xml:space="preserve">Качество управления деятельностью бюджетных и автономных учреждений 
Наличие правовых актов, обеспечивающих проведение мониторинга деятельности или качества финансового менеджмента бюджетных и автономных учреждений,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(или) управленческого (аналитического) учета
</t>
  </si>
  <si>
    <t xml:space="preserve"> Мониторинг качества финансового менеджмента, осуществляемого главными распорядителями средств местного бюджета, за  2019 год</t>
  </si>
  <si>
    <t>Х</t>
  </si>
  <si>
    <t>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</t>
  </si>
  <si>
    <t>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</t>
  </si>
  <si>
    <t>Su=0, Sp=0</t>
  </si>
  <si>
    <t>S=0</t>
  </si>
  <si>
    <t>правовой акт утвержден и содержит описание процедур и порядка осуществления мониторинга</t>
  </si>
  <si>
    <t>где             значение инфляции в отчетном финансовом году = 3</t>
  </si>
  <si>
    <t>Сроки соблюдены</t>
  </si>
  <si>
    <t>Ошибки отсутствуют</t>
  </si>
  <si>
    <t>Отчетность составлена с нарушениями требований к порядку составления, ошибки допущены более одного раза, направлено более двух электронных версий</t>
  </si>
  <si>
    <t>инвентариза- ция проведена</t>
  </si>
  <si>
    <t>инвентариза- ция  не проведена</t>
  </si>
  <si>
    <t xml:space="preserve">                                                     (должность)                                                                           (подпись)               (расшифровка подписи)             (телефон)</t>
  </si>
  <si>
    <t xml:space="preserve">                                   (должность)                                                                           (подпись)               (расшифровка подписи)                    (телефон)</t>
  </si>
  <si>
    <t xml:space="preserve">Исполнители:  начальник отдела учета исполнения бюджета-главный бухгалтер   ________________   _________________________   _______________    </t>
  </si>
  <si>
    <t xml:space="preserve">начальник бюджетного отдела                                                             ________________   _________________________   _______________    </t>
  </si>
  <si>
    <t xml:space="preserve">главный специалист сектора доходов                                                 ________________   _________________________   _______________    </t>
  </si>
  <si>
    <t xml:space="preserve">                                   (должность)                                                                          (подпись)               (расшифровка подписи)                    (телефон)</t>
  </si>
  <si>
    <t xml:space="preserve">начальник отдела санкционирования                                                 ________________   _________________________   _______________    </t>
  </si>
  <si>
    <t>Таблица не представляется в соответствии с приказом МФРФ от  31.01.2020  №13н "О внесении изменений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МФРФ от 28 декабря 2010г. №191н"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</si>
</sst>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4" fillId="0" borderId="12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4" fillId="0" borderId="14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4" fillId="0" borderId="15" xfId="0" applyNumberFormat="1" applyFont="1" applyBorder="1" applyAlignment="1">
      <alignment horizontal="left"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45" fillId="0" borderId="11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4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4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44" fillId="0" borderId="13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4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33" fillId="0" borderId="0" xfId="0" applyFont="1" applyAlignment="1">
      <alignment/>
    </xf>
    <xf numFmtId="0" fontId="44" fillId="0" borderId="13" xfId="0" applyNumberFormat="1" applyFont="1" applyBorder="1" applyAlignment="1">
      <alignment horizontal="left" vertical="top" wrapText="1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68" fontId="44" fillId="0" borderId="10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4" fillId="0" borderId="11" xfId="0" applyNumberFormat="1" applyFont="1" applyBorder="1" applyAlignment="1">
      <alignment horizontal="center" vertical="top" wrapText="1"/>
    </xf>
    <xf numFmtId="49" fontId="44" fillId="0" borderId="16" xfId="0" applyNumberFormat="1" applyFont="1" applyBorder="1" applyAlignment="1">
      <alignment horizontal="center" vertical="top" wrapText="1"/>
    </xf>
    <xf numFmtId="49" fontId="44" fillId="0" borderId="14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9" fontId="44" fillId="0" borderId="13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3" xfId="0" applyNumberFormat="1" applyFont="1" applyBorder="1" applyAlignment="1">
      <alignment horizontal="left" vertical="top" wrapText="1"/>
    </xf>
    <xf numFmtId="0" fontId="44" fillId="0" borderId="14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2" fillId="0" borderId="1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top" wrapText="1"/>
    </xf>
    <xf numFmtId="0" fontId="44" fillId="0" borderId="13" xfId="0" applyNumberFormat="1" applyFont="1" applyBorder="1" applyAlignment="1">
      <alignment horizontal="center" vertical="top" wrapText="1"/>
    </xf>
    <xf numFmtId="0" fontId="44" fillId="0" borderId="14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top" wrapText="1"/>
    </xf>
    <xf numFmtId="0" fontId="44" fillId="0" borderId="20" xfId="0" applyNumberFormat="1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3.wmf" /><Relationship Id="rId9" Type="http://schemas.openxmlformats.org/officeDocument/2006/relationships/image" Target="../media/image10.wmf" /><Relationship Id="rId10" Type="http://schemas.openxmlformats.org/officeDocument/2006/relationships/image" Target="../media/image9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8.wmf" /><Relationship Id="rId14" Type="http://schemas.openxmlformats.org/officeDocument/2006/relationships/image" Target="../media/image13.emf" /><Relationship Id="rId15" Type="http://schemas.openxmlformats.org/officeDocument/2006/relationships/image" Target="../media/image14.wmf" /><Relationship Id="rId16" Type="http://schemas.openxmlformats.org/officeDocument/2006/relationships/image" Target="../media/image15.wmf" /><Relationship Id="rId17" Type="http://schemas.openxmlformats.org/officeDocument/2006/relationships/image" Target="../media/image16.wmf" /><Relationship Id="rId18" Type="http://schemas.openxmlformats.org/officeDocument/2006/relationships/image" Target="../media/image17.wmf" /><Relationship Id="rId19" Type="http://schemas.openxmlformats.org/officeDocument/2006/relationships/image" Target="../media/image18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Relationship Id="rId22" Type="http://schemas.openxmlformats.org/officeDocument/2006/relationships/image" Target="../media/image32.emf" /><Relationship Id="rId23" Type="http://schemas.openxmlformats.org/officeDocument/2006/relationships/image" Target="../media/image22.wmf" /><Relationship Id="rId24" Type="http://schemas.openxmlformats.org/officeDocument/2006/relationships/image" Target="../media/image23.wmf" /><Relationship Id="rId25" Type="http://schemas.openxmlformats.org/officeDocument/2006/relationships/image" Target="../media/image24.wmf" /><Relationship Id="rId26" Type="http://schemas.openxmlformats.org/officeDocument/2006/relationships/image" Target="../media/image25.wmf" /><Relationship Id="rId27" Type="http://schemas.openxmlformats.org/officeDocument/2006/relationships/image" Target="../media/image21.wmf" /><Relationship Id="rId28" Type="http://schemas.openxmlformats.org/officeDocument/2006/relationships/image" Target="../media/image27.wmf" /><Relationship Id="rId29" Type="http://schemas.openxmlformats.org/officeDocument/2006/relationships/image" Target="../media/image28.wmf" /><Relationship Id="rId30" Type="http://schemas.openxmlformats.org/officeDocument/2006/relationships/image" Target="../media/image29.wmf" /><Relationship Id="rId31" Type="http://schemas.openxmlformats.org/officeDocument/2006/relationships/image" Target="../media/image30.wmf" /><Relationship Id="rId32" Type="http://schemas.openxmlformats.org/officeDocument/2006/relationships/image" Target="../media/image3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1047750</xdr:colOff>
      <xdr:row>22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0228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vmlDrawing" Target="../drawings/vmlDrawing1.vm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="60" zoomScaleNormal="60" zoomScalePageLayoutView="0" workbookViewId="0" topLeftCell="A1">
      <pane xSplit="6" ySplit="7" topLeftCell="G4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42" sqref="AA42:AA45"/>
    </sheetView>
  </sheetViews>
  <sheetFormatPr defaultColWidth="9.140625" defaultRowHeight="15"/>
  <cols>
    <col min="1" max="1" width="7.140625" style="1" customWidth="1"/>
    <col min="2" max="3" width="35.7109375" style="1" customWidth="1"/>
    <col min="4" max="4" width="8.57421875" style="1" customWidth="1"/>
    <col min="5" max="5" width="14.7109375" style="1" customWidth="1"/>
    <col min="6" max="6" width="17.7109375" style="1" customWidth="1"/>
    <col min="7" max="7" width="12.8515625" style="1" customWidth="1"/>
    <col min="8" max="8" width="7.57421875" style="1" customWidth="1"/>
    <col min="9" max="9" width="12.7109375" style="1" customWidth="1"/>
    <col min="10" max="10" width="7.7109375" style="1" customWidth="1"/>
    <col min="11" max="11" width="13.140625" style="1" customWidth="1"/>
    <col min="12" max="12" width="8.140625" style="1" customWidth="1"/>
    <col min="13" max="13" width="12.28125" style="1" customWidth="1"/>
    <col min="14" max="14" width="8.00390625" style="1" customWidth="1"/>
    <col min="15" max="15" width="12.28125" style="1" customWidth="1"/>
    <col min="16" max="16" width="8.00390625" style="1" customWidth="1"/>
    <col min="17" max="17" width="12.57421875" style="1" customWidth="1"/>
    <col min="18" max="18" width="8.57421875" style="1" customWidth="1"/>
    <col min="19" max="19" width="12.421875" style="1" customWidth="1"/>
    <col min="20" max="20" width="8.28125" style="1" customWidth="1"/>
    <col min="21" max="21" width="12.421875" style="1" customWidth="1"/>
    <col min="22" max="22" width="7.7109375" style="1" customWidth="1"/>
    <col min="23" max="23" width="12.421875" style="1" customWidth="1"/>
    <col min="24" max="24" width="7.8515625" style="1" customWidth="1"/>
    <col min="25" max="25" width="12.7109375" style="1" customWidth="1"/>
    <col min="26" max="26" width="8.00390625" style="1" customWidth="1"/>
    <col min="27" max="27" width="12.421875" style="1" customWidth="1"/>
    <col min="28" max="28" width="8.28125" style="1" customWidth="1"/>
    <col min="29" max="16384" width="8.8515625" style="1" customWidth="1"/>
  </cols>
  <sheetData>
    <row r="1" spans="10:18" ht="17.25" customHeight="1">
      <c r="J1" s="102" t="s">
        <v>126</v>
      </c>
      <c r="K1" s="102"/>
      <c r="L1" s="102"/>
      <c r="O1" s="102"/>
      <c r="P1" s="103"/>
      <c r="Q1" s="103"/>
      <c r="R1" s="103"/>
    </row>
    <row r="3" spans="1:19" ht="17.25">
      <c r="A3" s="93" t="s">
        <v>131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"/>
      <c r="N3" s="2"/>
      <c r="O3" s="2"/>
      <c r="P3" s="2"/>
      <c r="Q3" s="2"/>
      <c r="R3" s="2"/>
      <c r="S3" s="2"/>
    </row>
    <row r="5" spans="1:28" ht="62.25" customHeight="1">
      <c r="A5" s="90" t="s">
        <v>5</v>
      </c>
      <c r="B5" s="90" t="s">
        <v>1</v>
      </c>
      <c r="C5" s="90" t="s">
        <v>128</v>
      </c>
      <c r="D5" s="90" t="s">
        <v>3</v>
      </c>
      <c r="E5" s="90" t="s">
        <v>4</v>
      </c>
      <c r="F5" s="90" t="s">
        <v>6</v>
      </c>
      <c r="G5" s="108" t="s">
        <v>0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5">
      <c r="A6" s="91"/>
      <c r="B6" s="91"/>
      <c r="C6" s="91"/>
      <c r="D6" s="91"/>
      <c r="E6" s="91"/>
      <c r="F6" s="91"/>
      <c r="G6" s="112">
        <v>901</v>
      </c>
      <c r="H6" s="113"/>
      <c r="I6" s="106">
        <v>902</v>
      </c>
      <c r="J6" s="107"/>
      <c r="K6" s="106">
        <v>903</v>
      </c>
      <c r="L6" s="107"/>
      <c r="M6" s="106">
        <v>904</v>
      </c>
      <c r="N6" s="107"/>
      <c r="O6" s="106">
        <v>905</v>
      </c>
      <c r="P6" s="107"/>
      <c r="Q6" s="106">
        <v>906</v>
      </c>
      <c r="R6" s="107"/>
      <c r="S6" s="106">
        <v>907</v>
      </c>
      <c r="T6" s="107"/>
      <c r="U6" s="104">
        <v>913</v>
      </c>
      <c r="V6" s="105"/>
      <c r="W6" s="104">
        <v>914</v>
      </c>
      <c r="X6" s="105"/>
      <c r="Y6" s="104">
        <v>915</v>
      </c>
      <c r="Z6" s="105"/>
      <c r="AA6" s="104">
        <v>917</v>
      </c>
      <c r="AB6" s="105"/>
    </row>
    <row r="7" spans="1:28" ht="55.5" customHeight="1">
      <c r="A7" s="92"/>
      <c r="B7" s="92"/>
      <c r="C7" s="92"/>
      <c r="D7" s="92"/>
      <c r="E7" s="92"/>
      <c r="F7" s="92"/>
      <c r="G7" s="3" t="s">
        <v>7</v>
      </c>
      <c r="H7" s="3" t="s">
        <v>2</v>
      </c>
      <c r="I7" s="3" t="s">
        <v>7</v>
      </c>
      <c r="J7" s="3" t="s">
        <v>2</v>
      </c>
      <c r="K7" s="3" t="s">
        <v>7</v>
      </c>
      <c r="L7" s="3" t="s">
        <v>2</v>
      </c>
      <c r="M7" s="3" t="s">
        <v>7</v>
      </c>
      <c r="N7" s="3" t="s">
        <v>2</v>
      </c>
      <c r="O7" s="3" t="s">
        <v>7</v>
      </c>
      <c r="P7" s="3" t="s">
        <v>2</v>
      </c>
      <c r="Q7" s="3" t="s">
        <v>7</v>
      </c>
      <c r="R7" s="3" t="s">
        <v>2</v>
      </c>
      <c r="S7" s="3" t="s">
        <v>7</v>
      </c>
      <c r="T7" s="3" t="s">
        <v>2</v>
      </c>
      <c r="U7" s="3" t="s">
        <v>7</v>
      </c>
      <c r="V7" s="3" t="s">
        <v>2</v>
      </c>
      <c r="W7" s="3" t="s">
        <v>7</v>
      </c>
      <c r="X7" s="3" t="s">
        <v>2</v>
      </c>
      <c r="Y7" s="3" t="s">
        <v>7</v>
      </c>
      <c r="Z7" s="3" t="s">
        <v>2</v>
      </c>
      <c r="AA7" s="3" t="s">
        <v>7</v>
      </c>
      <c r="AB7" s="3" t="s">
        <v>2</v>
      </c>
    </row>
    <row r="8" spans="1:28" ht="15">
      <c r="A8" s="9" t="s">
        <v>8</v>
      </c>
      <c r="B8" s="6" t="s">
        <v>9</v>
      </c>
      <c r="C8" s="11"/>
      <c r="D8" s="12"/>
      <c r="E8" s="13">
        <v>15</v>
      </c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</row>
    <row r="9" spans="1:28" ht="165.75" customHeight="1">
      <c r="A9" s="10" t="s">
        <v>10</v>
      </c>
      <c r="B9" s="7" t="s">
        <v>12</v>
      </c>
      <c r="C9" s="7" t="s">
        <v>68</v>
      </c>
      <c r="D9" s="17" t="s">
        <v>13</v>
      </c>
      <c r="E9" s="18">
        <v>30</v>
      </c>
      <c r="F9" s="56" t="s">
        <v>14</v>
      </c>
      <c r="G9" s="44" t="s">
        <v>132</v>
      </c>
      <c r="H9" s="44" t="s">
        <v>132</v>
      </c>
      <c r="I9" s="44">
        <v>0</v>
      </c>
      <c r="J9" s="44">
        <v>1</v>
      </c>
      <c r="K9" s="44" t="s">
        <v>132</v>
      </c>
      <c r="L9" s="44" t="s">
        <v>132</v>
      </c>
      <c r="M9" s="44">
        <v>0</v>
      </c>
      <c r="N9" s="44">
        <v>1</v>
      </c>
      <c r="O9" s="44">
        <v>0</v>
      </c>
      <c r="P9" s="44">
        <v>1</v>
      </c>
      <c r="Q9" s="44">
        <v>1</v>
      </c>
      <c r="R9" s="44">
        <v>0.8</v>
      </c>
      <c r="S9" s="44">
        <v>1</v>
      </c>
      <c r="T9" s="45">
        <v>0.8</v>
      </c>
      <c r="U9" s="45">
        <v>0</v>
      </c>
      <c r="V9" s="45">
        <v>1</v>
      </c>
      <c r="W9" s="45">
        <v>0</v>
      </c>
      <c r="X9" s="45">
        <v>1</v>
      </c>
      <c r="Y9" s="45">
        <v>0</v>
      </c>
      <c r="Z9" s="45">
        <v>1</v>
      </c>
      <c r="AA9" s="45" t="s">
        <v>132</v>
      </c>
      <c r="AB9" s="45" t="s">
        <v>132</v>
      </c>
    </row>
    <row r="10" spans="1:28" ht="177" customHeight="1">
      <c r="A10" s="10" t="s">
        <v>11</v>
      </c>
      <c r="B10" s="7" t="s">
        <v>15</v>
      </c>
      <c r="C10" s="16" t="s">
        <v>16</v>
      </c>
      <c r="D10" s="14" t="s">
        <v>13</v>
      </c>
      <c r="E10" s="14">
        <v>70</v>
      </c>
      <c r="F10" s="57" t="s">
        <v>14</v>
      </c>
      <c r="G10" s="44">
        <v>4</v>
      </c>
      <c r="H10" s="44">
        <v>0</v>
      </c>
      <c r="I10" s="44">
        <v>6</v>
      </c>
      <c r="J10" s="44">
        <v>0</v>
      </c>
      <c r="K10" s="44">
        <v>1</v>
      </c>
      <c r="L10" s="44">
        <v>1</v>
      </c>
      <c r="M10" s="54">
        <v>3</v>
      </c>
      <c r="N10" s="54">
        <v>1</v>
      </c>
      <c r="O10" s="44">
        <v>5</v>
      </c>
      <c r="P10" s="44">
        <v>0</v>
      </c>
      <c r="Q10" s="44">
        <v>4</v>
      </c>
      <c r="R10" s="44">
        <v>0</v>
      </c>
      <c r="S10" s="44">
        <v>6</v>
      </c>
      <c r="T10" s="45">
        <v>0</v>
      </c>
      <c r="U10" s="45">
        <v>4</v>
      </c>
      <c r="V10" s="45">
        <v>0</v>
      </c>
      <c r="W10" s="45">
        <v>4</v>
      </c>
      <c r="X10" s="45">
        <v>0</v>
      </c>
      <c r="Y10" s="45">
        <v>2</v>
      </c>
      <c r="Z10" s="45">
        <v>1</v>
      </c>
      <c r="AA10" s="45">
        <v>3</v>
      </c>
      <c r="AB10" s="45">
        <v>1</v>
      </c>
    </row>
    <row r="11" spans="1:28" ht="24.75" customHeight="1">
      <c r="A11" s="19" t="s">
        <v>17</v>
      </c>
      <c r="B11" s="6" t="s">
        <v>18</v>
      </c>
      <c r="C11" s="6"/>
      <c r="D11" s="20"/>
      <c r="E11" s="21">
        <v>27</v>
      </c>
      <c r="F11" s="5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42.5" customHeight="1">
      <c r="A12" s="10" t="s">
        <v>19</v>
      </c>
      <c r="B12" s="7" t="s">
        <v>33</v>
      </c>
      <c r="C12" s="7" t="s">
        <v>28</v>
      </c>
      <c r="D12" s="15" t="s">
        <v>29</v>
      </c>
      <c r="E12" s="14">
        <v>15</v>
      </c>
      <c r="F12" s="57" t="s">
        <v>14</v>
      </c>
      <c r="G12" s="44">
        <f>100*(31049.2-30418)/31049.2</f>
        <v>2.032902619069093</v>
      </c>
      <c r="H12" s="44">
        <v>1</v>
      </c>
      <c r="I12" s="44">
        <f>100*(1542127.5-1042510)/1542127.5</f>
        <v>32.397937265239094</v>
      </c>
      <c r="J12" s="44">
        <v>0</v>
      </c>
      <c r="K12" s="44">
        <f>100*(7848.6-7803)/7848.6</f>
        <v>0.5809953367479597</v>
      </c>
      <c r="L12" s="44">
        <v>1</v>
      </c>
      <c r="M12" s="44">
        <f>100*(35269.7-35250.9)/35269.7</f>
        <v>0.05330354383506419</v>
      </c>
      <c r="N12" s="44">
        <v>1</v>
      </c>
      <c r="O12" s="44">
        <f>100*(140619.8-134760)/140619.8</f>
        <v>4.167122979836402</v>
      </c>
      <c r="P12" s="44">
        <v>1</v>
      </c>
      <c r="Q12" s="44">
        <f>100*(276374.5-276132.7)/276374.5</f>
        <v>0.08748998189051028</v>
      </c>
      <c r="R12" s="44">
        <v>1</v>
      </c>
      <c r="S12" s="44">
        <f>100*(1840678.1-1828024)/1840678.1</f>
        <v>0.6874694711693529</v>
      </c>
      <c r="T12" s="45">
        <v>1</v>
      </c>
      <c r="U12" s="44">
        <f>100*(964370.9-958513.1)/964370.9</f>
        <v>0.6074218954553737</v>
      </c>
      <c r="V12" s="45">
        <v>1</v>
      </c>
      <c r="W12" s="44">
        <f>100*(78160.5-75067.7)/78160.5</f>
        <v>3.956985945586329</v>
      </c>
      <c r="X12" s="45">
        <v>1</v>
      </c>
      <c r="Y12" s="44">
        <f>100*(100417.1-100396)/100417.1</f>
        <v>0.021012357457052454</v>
      </c>
      <c r="Z12" s="45">
        <v>1</v>
      </c>
      <c r="AA12" s="44">
        <f>100*(7908.3-7734.8)/7908.3</f>
        <v>2.1938975506746075</v>
      </c>
      <c r="AB12" s="45">
        <v>1</v>
      </c>
    </row>
    <row r="13" spans="1:28" ht="131.25" customHeight="1">
      <c r="A13" s="10" t="s">
        <v>20</v>
      </c>
      <c r="B13" s="7" t="s">
        <v>30</v>
      </c>
      <c r="C13"/>
      <c r="D13" s="18" t="s">
        <v>29</v>
      </c>
      <c r="E13" s="17">
        <v>15</v>
      </c>
      <c r="F13" s="59" t="s">
        <v>14</v>
      </c>
      <c r="G13" s="44">
        <f>(10208.9-6736.3)*100/6736.3</f>
        <v>51.55055445867909</v>
      </c>
      <c r="H13" s="62">
        <f>1-(G13-50)/50</f>
        <v>0.9689889108264182</v>
      </c>
      <c r="I13" s="44">
        <f>(573116.6-156464.5)*100/156464.5</f>
        <v>266.2917786462744</v>
      </c>
      <c r="J13" s="54">
        <v>0</v>
      </c>
      <c r="K13" s="44">
        <f>(3000.4-1600.9)*100/1600.9</f>
        <v>87.41957648822537</v>
      </c>
      <c r="L13" s="62">
        <f>1-(K13-50)/50</f>
        <v>0.2516084702354925</v>
      </c>
      <c r="M13" s="44">
        <f>(10108.5-8380.8)*100/8380.6</f>
        <v>20.615469059494554</v>
      </c>
      <c r="N13" s="44">
        <v>1</v>
      </c>
      <c r="O13" s="44">
        <f>(48034.5-28908.5)*100/28908.5</f>
        <v>66.16047183354377</v>
      </c>
      <c r="P13" s="62">
        <f>1-(O13-50)/50</f>
        <v>0.6767905633291247</v>
      </c>
      <c r="Q13" s="44">
        <f>(90388.1-61914.9)*100/61914.9</f>
        <v>45.98763787069026</v>
      </c>
      <c r="R13" s="44">
        <v>1</v>
      </c>
      <c r="S13" s="44">
        <f>(615476.5-404182.5)*100/404182.5</f>
        <v>52.276879874809026</v>
      </c>
      <c r="T13" s="62">
        <f>1-(S13-50)/50</f>
        <v>0.9544624025038195</v>
      </c>
      <c r="U13" s="44">
        <f>(240435.5-239359.2)*100/239359.2</f>
        <v>0.44965892265682217</v>
      </c>
      <c r="V13" s="45">
        <v>1</v>
      </c>
      <c r="W13" s="44">
        <f>(26236-16277.2)*100/16277.2</f>
        <v>61.18251296291744</v>
      </c>
      <c r="X13" s="62">
        <f>1-(W13-50)/50</f>
        <v>0.7763497407416511</v>
      </c>
      <c r="Y13" s="44">
        <f>(30126.3-23423.2)*100/23423.2</f>
        <v>28.617353734758694</v>
      </c>
      <c r="Z13" s="45">
        <v>1</v>
      </c>
      <c r="AA13" s="44">
        <f>(2549.3-1728.5)*100/1728.5</f>
        <v>47.486259762800124</v>
      </c>
      <c r="AB13" s="45">
        <v>1</v>
      </c>
    </row>
    <row r="14" spans="1:28" ht="154.5" customHeight="1">
      <c r="A14" s="10" t="s">
        <v>21</v>
      </c>
      <c r="B14" s="7" t="s">
        <v>31</v>
      </c>
      <c r="C14" s="24" t="s">
        <v>32</v>
      </c>
      <c r="D14" s="18" t="s">
        <v>29</v>
      </c>
      <c r="E14" s="17">
        <v>10</v>
      </c>
      <c r="F14" s="60" t="s">
        <v>14</v>
      </c>
      <c r="G14" s="44" t="s">
        <v>132</v>
      </c>
      <c r="H14" s="44" t="s">
        <v>132</v>
      </c>
      <c r="I14" s="44" t="s">
        <v>132</v>
      </c>
      <c r="J14" s="44" t="s">
        <v>132</v>
      </c>
      <c r="K14" s="44" t="s">
        <v>132</v>
      </c>
      <c r="L14" s="44" t="s">
        <v>132</v>
      </c>
      <c r="M14" s="44" t="s">
        <v>132</v>
      </c>
      <c r="N14" s="44" t="s">
        <v>132</v>
      </c>
      <c r="O14" s="44">
        <f>3/3*100</f>
        <v>100</v>
      </c>
      <c r="P14" s="44">
        <v>1</v>
      </c>
      <c r="Q14" s="44">
        <f>11/11*100</f>
        <v>100</v>
      </c>
      <c r="R14" s="44">
        <v>1</v>
      </c>
      <c r="S14" s="44">
        <f>63/63*100</f>
        <v>100</v>
      </c>
      <c r="T14" s="45">
        <v>1</v>
      </c>
      <c r="U14" s="45">
        <f>1/1*100</f>
        <v>100</v>
      </c>
      <c r="V14" s="45">
        <v>1</v>
      </c>
      <c r="W14" s="45">
        <f>1/1*100</f>
        <v>100</v>
      </c>
      <c r="X14" s="45">
        <v>1</v>
      </c>
      <c r="Y14" s="45">
        <f>5/5*100</f>
        <v>100</v>
      </c>
      <c r="Z14" s="45">
        <v>1</v>
      </c>
      <c r="AA14" s="45" t="s">
        <v>132</v>
      </c>
      <c r="AB14" s="45" t="s">
        <v>132</v>
      </c>
    </row>
    <row r="15" spans="1:28" ht="94.5" customHeight="1">
      <c r="A15" s="10" t="s">
        <v>22</v>
      </c>
      <c r="B15" s="7" t="s">
        <v>34</v>
      </c>
      <c r="C15" s="7" t="s">
        <v>35</v>
      </c>
      <c r="D15" s="15" t="s">
        <v>36</v>
      </c>
      <c r="E15" s="14">
        <v>15</v>
      </c>
      <c r="F15" s="57" t="s">
        <v>37</v>
      </c>
      <c r="G15" s="44">
        <v>0</v>
      </c>
      <c r="H15" s="44">
        <v>1</v>
      </c>
      <c r="I15" s="44">
        <v>0</v>
      </c>
      <c r="J15" s="44">
        <v>1</v>
      </c>
      <c r="K15" s="44">
        <v>0</v>
      </c>
      <c r="L15" s="44">
        <v>1</v>
      </c>
      <c r="M15" s="44">
        <v>0</v>
      </c>
      <c r="N15" s="44">
        <v>1</v>
      </c>
      <c r="O15" s="44">
        <v>0</v>
      </c>
      <c r="P15" s="44">
        <v>1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1</v>
      </c>
      <c r="W15" s="44">
        <v>0</v>
      </c>
      <c r="X15" s="44">
        <v>1</v>
      </c>
      <c r="Y15" s="44">
        <v>0</v>
      </c>
      <c r="Z15" s="44">
        <v>1</v>
      </c>
      <c r="AA15" s="44">
        <v>0</v>
      </c>
      <c r="AB15" s="44">
        <v>1</v>
      </c>
    </row>
    <row r="16" spans="1:28" ht="156" customHeight="1">
      <c r="A16" s="10" t="s">
        <v>23</v>
      </c>
      <c r="B16" s="7" t="s">
        <v>38</v>
      </c>
      <c r="C16" s="7" t="s">
        <v>39</v>
      </c>
      <c r="D16" s="15" t="s">
        <v>29</v>
      </c>
      <c r="E16" s="14">
        <v>15</v>
      </c>
      <c r="F16" s="57" t="s">
        <v>37</v>
      </c>
      <c r="G16" s="44">
        <f>100*3.6/30418</f>
        <v>0.011835097639555526</v>
      </c>
      <c r="H16" s="44">
        <v>1</v>
      </c>
      <c r="I16" s="55">
        <f>100*2783.11/1042510.04</f>
        <v>0.26696241697585954</v>
      </c>
      <c r="J16" s="55">
        <v>1</v>
      </c>
      <c r="K16" s="44">
        <f>100*0.3/7803</f>
        <v>0.0038446751249519417</v>
      </c>
      <c r="L16" s="44">
        <v>1</v>
      </c>
      <c r="M16" s="44">
        <f>100*2.3/35250.8</f>
        <v>0.006524674617313648</v>
      </c>
      <c r="N16" s="44">
        <v>1</v>
      </c>
      <c r="O16" s="44">
        <f>100*0/134760</f>
        <v>0</v>
      </c>
      <c r="P16" s="44">
        <v>1</v>
      </c>
      <c r="Q16" s="44">
        <f>100*19/276132.7</f>
        <v>0.006880749726490198</v>
      </c>
      <c r="R16" s="44">
        <v>1</v>
      </c>
      <c r="S16" s="44">
        <f>100*72.7/1828024</f>
        <v>0.003976971855949375</v>
      </c>
      <c r="T16" s="45">
        <v>1</v>
      </c>
      <c r="U16" s="45">
        <f>100*0/958513.1</f>
        <v>0</v>
      </c>
      <c r="V16" s="45">
        <v>1</v>
      </c>
      <c r="W16" s="45">
        <f>100*76.51/75067.71</f>
        <v>0.10192131876675072</v>
      </c>
      <c r="X16" s="45">
        <v>1</v>
      </c>
      <c r="Y16" s="45">
        <f>100*0.4/100396</f>
        <v>0.00039842224789832264</v>
      </c>
      <c r="Z16" s="45">
        <v>1</v>
      </c>
      <c r="AA16" s="45">
        <f>100*0/7734.8</f>
        <v>0</v>
      </c>
      <c r="AB16" s="45">
        <v>1</v>
      </c>
    </row>
    <row r="17" spans="1:28" ht="170.25" customHeight="1">
      <c r="A17" s="10" t="s">
        <v>24</v>
      </c>
      <c r="B17" s="7" t="s">
        <v>40</v>
      </c>
      <c r="C17" s="7" t="s">
        <v>41</v>
      </c>
      <c r="D17" s="14"/>
      <c r="E17" s="15">
        <v>5</v>
      </c>
      <c r="F17" s="57" t="s">
        <v>14</v>
      </c>
      <c r="G17" s="46">
        <v>0</v>
      </c>
      <c r="H17" s="44">
        <v>1</v>
      </c>
      <c r="I17" s="44">
        <v>1</v>
      </c>
      <c r="J17" s="44">
        <v>0.5</v>
      </c>
      <c r="K17" s="44">
        <v>0</v>
      </c>
      <c r="L17" s="44">
        <v>1</v>
      </c>
      <c r="M17" s="44">
        <v>0</v>
      </c>
      <c r="N17" s="44">
        <v>1</v>
      </c>
      <c r="O17" s="44">
        <v>1</v>
      </c>
      <c r="P17" s="44">
        <v>0.5</v>
      </c>
      <c r="Q17" s="44">
        <v>0</v>
      </c>
      <c r="R17" s="44">
        <v>1</v>
      </c>
      <c r="S17" s="44">
        <v>1</v>
      </c>
      <c r="T17" s="45">
        <v>0.5</v>
      </c>
      <c r="U17" s="45">
        <v>1</v>
      </c>
      <c r="V17" s="45">
        <v>0.5</v>
      </c>
      <c r="W17" s="45">
        <v>0</v>
      </c>
      <c r="X17" s="45">
        <v>1</v>
      </c>
      <c r="Y17" s="45">
        <v>0</v>
      </c>
      <c r="Z17" s="45">
        <v>1</v>
      </c>
      <c r="AA17" s="45">
        <v>1</v>
      </c>
      <c r="AB17" s="45">
        <v>0.5</v>
      </c>
    </row>
    <row r="18" spans="1:28" ht="243" customHeight="1">
      <c r="A18" s="10" t="s">
        <v>25</v>
      </c>
      <c r="B18" s="7" t="s">
        <v>127</v>
      </c>
      <c r="C18" s="23"/>
      <c r="D18" s="15" t="s">
        <v>29</v>
      </c>
      <c r="E18" s="14">
        <v>10</v>
      </c>
      <c r="F18" s="57" t="s">
        <v>14</v>
      </c>
      <c r="G18" s="44">
        <f>(5250.1/6378.2)*100</f>
        <v>82.31319180960146</v>
      </c>
      <c r="H18" s="62">
        <f>G18/100</f>
        <v>0.8231319180960146</v>
      </c>
      <c r="I18" s="44">
        <f>(625638.8/891293.7)*100</f>
        <v>70.19446003040301</v>
      </c>
      <c r="J18" s="62">
        <f>I18/100</f>
        <v>0.70194460030403</v>
      </c>
      <c r="K18" s="44">
        <f>(750.5/919)*100</f>
        <v>81.66485310119695</v>
      </c>
      <c r="L18" s="62">
        <f>K18/100</f>
        <v>0.8166485310119695</v>
      </c>
      <c r="M18" s="44">
        <f>(804.6/943.1)*100</f>
        <v>85.31438871805747</v>
      </c>
      <c r="N18" s="62">
        <f>M18/100</f>
        <v>0.8531438871805748</v>
      </c>
      <c r="O18" s="44">
        <f>(933.5/1234.4)*100</f>
        <v>75.62378483473752</v>
      </c>
      <c r="P18" s="62">
        <f>O18/100</f>
        <v>0.7562378483473752</v>
      </c>
      <c r="Q18" s="44">
        <f>(761.3/898.6)*100</f>
        <v>84.72067660805696</v>
      </c>
      <c r="R18" s="62">
        <f>Q18/100</f>
        <v>0.8472067660805697</v>
      </c>
      <c r="S18" s="44">
        <f>(4336.3/5575.3)*100</f>
        <v>77.77698061090884</v>
      </c>
      <c r="T18" s="62">
        <f>S18/100</f>
        <v>0.7777698061090884</v>
      </c>
      <c r="U18" s="44">
        <f>(24898/26684.5)*100</f>
        <v>93.30510221289514</v>
      </c>
      <c r="V18" s="62">
        <f>U18/100</f>
        <v>0.9330510221289514</v>
      </c>
      <c r="W18" s="44">
        <f>(9871.3/12579.1)*100</f>
        <v>78.47381768171013</v>
      </c>
      <c r="X18" s="62">
        <f>W18/100</f>
        <v>0.7847381768171013</v>
      </c>
      <c r="Y18" s="44">
        <f>(475.8/613.6)*100</f>
        <v>77.54237288135593</v>
      </c>
      <c r="Z18" s="62">
        <f>Y18/100</f>
        <v>0.7754237288135593</v>
      </c>
      <c r="AA18" s="44">
        <f>(808.8/1093.2)*100</f>
        <v>73.98463227222831</v>
      </c>
      <c r="AB18" s="62">
        <f>AA18/100</f>
        <v>0.7398463227222831</v>
      </c>
    </row>
    <row r="19" spans="1:28" ht="192.75" customHeight="1">
      <c r="A19" s="10" t="s">
        <v>26</v>
      </c>
      <c r="B19" s="7" t="s">
        <v>42</v>
      </c>
      <c r="C19" s="7" t="s">
        <v>43</v>
      </c>
      <c r="D19" s="15" t="s">
        <v>13</v>
      </c>
      <c r="E19" s="17">
        <v>10</v>
      </c>
      <c r="F19" s="56" t="s">
        <v>44</v>
      </c>
      <c r="G19" s="47">
        <f>1/1502*100</f>
        <v>0.06657789613848203</v>
      </c>
      <c r="H19" s="44">
        <v>1</v>
      </c>
      <c r="I19" s="44">
        <f>128/6079*100</f>
        <v>2.1056094752426384</v>
      </c>
      <c r="J19" s="44">
        <v>0.2</v>
      </c>
      <c r="K19" s="44">
        <v>0</v>
      </c>
      <c r="L19" s="44">
        <v>1</v>
      </c>
      <c r="M19" s="44">
        <v>0</v>
      </c>
      <c r="N19" s="44">
        <v>1</v>
      </c>
      <c r="O19" s="44">
        <f>16/1315*100</f>
        <v>1.2167300380228137</v>
      </c>
      <c r="P19" s="44">
        <v>0.5</v>
      </c>
      <c r="Q19" s="44">
        <f>34/1928*100</f>
        <v>1.7634854771784232</v>
      </c>
      <c r="R19" s="44">
        <v>0.5</v>
      </c>
      <c r="S19" s="44">
        <f>177/17922*100</f>
        <v>0.987612989621694</v>
      </c>
      <c r="T19" s="45">
        <v>0.5</v>
      </c>
      <c r="U19" s="45">
        <f>44/4644*100</f>
        <v>0.9474590869939706</v>
      </c>
      <c r="V19" s="45">
        <v>0.5</v>
      </c>
      <c r="W19" s="45">
        <f>33/1565*100</f>
        <v>2.1086261980830674</v>
      </c>
      <c r="X19" s="45">
        <v>0.2</v>
      </c>
      <c r="Y19" s="45">
        <f>13/1105*100</f>
        <v>1.1764705882352942</v>
      </c>
      <c r="Z19" s="45">
        <v>0.5</v>
      </c>
      <c r="AA19" s="45">
        <f>50/593*100</f>
        <v>8.431703204047219</v>
      </c>
      <c r="AB19" s="45">
        <v>0</v>
      </c>
    </row>
    <row r="20" spans="1:28" ht="370.5" customHeight="1">
      <c r="A20" s="10" t="s">
        <v>27</v>
      </c>
      <c r="B20" s="7" t="s">
        <v>130</v>
      </c>
      <c r="C20" s="11" t="s">
        <v>45</v>
      </c>
      <c r="D20" s="18" t="s">
        <v>29</v>
      </c>
      <c r="E20" s="18">
        <v>5</v>
      </c>
      <c r="F20" s="56" t="s">
        <v>44</v>
      </c>
      <c r="G20" s="44" t="s">
        <v>132</v>
      </c>
      <c r="H20" s="44" t="s">
        <v>132</v>
      </c>
      <c r="I20" s="44" t="s">
        <v>132</v>
      </c>
      <c r="J20" s="44" t="s">
        <v>132</v>
      </c>
      <c r="K20" s="44" t="s">
        <v>132</v>
      </c>
      <c r="L20" s="44" t="s">
        <v>132</v>
      </c>
      <c r="M20" s="44" t="s">
        <v>132</v>
      </c>
      <c r="N20" s="44" t="s">
        <v>132</v>
      </c>
      <c r="O20" s="44">
        <f>5/7</f>
        <v>0.7142857142857143</v>
      </c>
      <c r="P20" s="62">
        <f>O20</f>
        <v>0.7142857142857143</v>
      </c>
      <c r="Q20" s="44">
        <f>3/7</f>
        <v>0.42857142857142855</v>
      </c>
      <c r="R20" s="62">
        <f>Q20</f>
        <v>0.42857142857142855</v>
      </c>
      <c r="S20" s="44">
        <f>2/7</f>
        <v>0.2857142857142857</v>
      </c>
      <c r="T20" s="63">
        <f>S20</f>
        <v>0.2857142857142857</v>
      </c>
      <c r="U20" s="45">
        <f>6/7</f>
        <v>0.8571428571428571</v>
      </c>
      <c r="V20" s="63">
        <f>U20</f>
        <v>0.8571428571428571</v>
      </c>
      <c r="W20" s="45">
        <f>7/7</f>
        <v>1</v>
      </c>
      <c r="X20" s="45">
        <f>W20</f>
        <v>1</v>
      </c>
      <c r="Y20" s="45">
        <f>5/7</f>
        <v>0.7142857142857143</v>
      </c>
      <c r="Z20" s="63">
        <f>Y20</f>
        <v>0.7142857142857143</v>
      </c>
      <c r="AA20" s="45" t="s">
        <v>132</v>
      </c>
      <c r="AB20" s="45" t="s">
        <v>132</v>
      </c>
    </row>
    <row r="21" spans="1:28" ht="25.5" customHeight="1">
      <c r="A21" s="19" t="s">
        <v>46</v>
      </c>
      <c r="B21" s="26" t="s">
        <v>47</v>
      </c>
      <c r="C21" s="6"/>
      <c r="D21" s="27"/>
      <c r="E21" s="28">
        <v>7</v>
      </c>
      <c r="F21" s="57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03.5" customHeight="1">
      <c r="A22" s="81" t="s">
        <v>48</v>
      </c>
      <c r="B22" s="11" t="s">
        <v>50</v>
      </c>
      <c r="C22" s="79"/>
      <c r="D22" s="110" t="s">
        <v>29</v>
      </c>
      <c r="E22" s="99">
        <v>50</v>
      </c>
      <c r="F22" s="87" t="s">
        <v>54</v>
      </c>
      <c r="G22" s="76">
        <f>100*(30-30)/30</f>
        <v>0</v>
      </c>
      <c r="H22" s="76">
        <v>1</v>
      </c>
      <c r="I22" s="76">
        <f>100*(5894.3-5569.1)/5569.1</f>
        <v>5.839363631466481</v>
      </c>
      <c r="J22" s="76">
        <v>1</v>
      </c>
      <c r="K22" s="76" t="s">
        <v>132</v>
      </c>
      <c r="L22" s="76" t="s">
        <v>132</v>
      </c>
      <c r="M22" s="76" t="s">
        <v>132</v>
      </c>
      <c r="N22" s="76" t="s">
        <v>132</v>
      </c>
      <c r="O22" s="76" t="s">
        <v>132</v>
      </c>
      <c r="P22" s="76" t="s">
        <v>132</v>
      </c>
      <c r="Q22" s="76" t="s">
        <v>132</v>
      </c>
      <c r="R22" s="76" t="s">
        <v>132</v>
      </c>
      <c r="S22" s="76" t="s">
        <v>132</v>
      </c>
      <c r="T22" s="76" t="s">
        <v>132</v>
      </c>
      <c r="U22" s="76" t="s">
        <v>132</v>
      </c>
      <c r="V22" s="76" t="s">
        <v>132</v>
      </c>
      <c r="W22" s="76">
        <f>100*(137697.3-134758.1)/137697.3</f>
        <v>2.1345371332625858</v>
      </c>
      <c r="X22" s="76">
        <v>1</v>
      </c>
      <c r="Y22" s="76" t="s">
        <v>132</v>
      </c>
      <c r="Z22" s="76" t="s">
        <v>132</v>
      </c>
      <c r="AA22" s="76" t="s">
        <v>132</v>
      </c>
      <c r="AB22" s="76" t="s">
        <v>132</v>
      </c>
    </row>
    <row r="23" spans="1:28" ht="38.25" customHeight="1">
      <c r="A23" s="95"/>
      <c r="B23"/>
      <c r="C23" s="94"/>
      <c r="D23" s="111"/>
      <c r="E23" s="100"/>
      <c r="F23" s="8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15.75" customHeight="1">
      <c r="A24" s="95"/>
      <c r="B24" s="25" t="s">
        <v>51</v>
      </c>
      <c r="C24" s="31" t="s">
        <v>55</v>
      </c>
      <c r="D24" s="111"/>
      <c r="E24" s="100"/>
      <c r="F24" s="8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1" customHeight="1">
      <c r="A25" s="95"/>
      <c r="B25"/>
      <c r="C25" s="32"/>
      <c r="D25" s="111"/>
      <c r="E25" s="100"/>
      <c r="F25" s="8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43.5" customHeight="1">
      <c r="A26" s="95"/>
      <c r="B26"/>
      <c r="C26" s="31" t="s">
        <v>56</v>
      </c>
      <c r="D26" s="111"/>
      <c r="E26" s="100"/>
      <c r="F26" s="88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3.5" customHeight="1">
      <c r="A27" s="95"/>
      <c r="B27" t="s">
        <v>51</v>
      </c>
      <c r="C27" s="32"/>
      <c r="D27" s="111"/>
      <c r="E27" s="100"/>
      <c r="F27" s="88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15.75" customHeight="1">
      <c r="A28" s="95"/>
      <c r="B28"/>
      <c r="C28" s="31"/>
      <c r="D28" s="111"/>
      <c r="E28" s="100"/>
      <c r="F28" s="88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9.5" customHeight="1">
      <c r="A29" s="82"/>
      <c r="B29" s="30"/>
      <c r="C29"/>
      <c r="D29" s="111"/>
      <c r="E29" s="100"/>
      <c r="F29" s="8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45" customHeight="1">
      <c r="A30" s="82"/>
      <c r="B30" s="29" t="s">
        <v>52</v>
      </c>
      <c r="C30" s="31"/>
      <c r="D30" s="111"/>
      <c r="E30" s="100"/>
      <c r="F30" s="88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1" customHeight="1">
      <c r="A31" s="82"/>
      <c r="B31" s="30"/>
      <c r="C31" s="31"/>
      <c r="D31" s="111"/>
      <c r="E31" s="100"/>
      <c r="F31" s="88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9.25" customHeight="1">
      <c r="A32" s="109"/>
      <c r="B32" s="22" t="s">
        <v>53</v>
      </c>
      <c r="C32" s="31"/>
      <c r="D32" s="111"/>
      <c r="E32" s="100"/>
      <c r="F32" s="89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51.75" customHeight="1">
      <c r="A33" s="81" t="s">
        <v>49</v>
      </c>
      <c r="B33" s="11" t="s">
        <v>57</v>
      </c>
      <c r="C33" s="96" t="s">
        <v>58</v>
      </c>
      <c r="D33" s="99" t="s">
        <v>29</v>
      </c>
      <c r="E33" s="99">
        <v>50</v>
      </c>
      <c r="F33" s="87" t="s">
        <v>54</v>
      </c>
      <c r="G33" s="76">
        <f>100*0/30</f>
        <v>0</v>
      </c>
      <c r="H33" s="76">
        <v>1</v>
      </c>
      <c r="I33" s="76">
        <f>100*6186.85/5894.3</f>
        <v>104.96326959944352</v>
      </c>
      <c r="J33" s="76">
        <v>0</v>
      </c>
      <c r="K33" s="76" t="s">
        <v>132</v>
      </c>
      <c r="L33" s="76" t="s">
        <v>132</v>
      </c>
      <c r="M33" s="76" t="s">
        <v>132</v>
      </c>
      <c r="N33" s="76" t="s">
        <v>132</v>
      </c>
      <c r="O33" s="76" t="s">
        <v>132</v>
      </c>
      <c r="P33" s="76" t="s">
        <v>132</v>
      </c>
      <c r="Q33" s="76" t="s">
        <v>132</v>
      </c>
      <c r="R33" s="76" t="s">
        <v>132</v>
      </c>
      <c r="S33" s="76" t="s">
        <v>132</v>
      </c>
      <c r="T33" s="76" t="s">
        <v>132</v>
      </c>
      <c r="U33" s="76" t="s">
        <v>132</v>
      </c>
      <c r="V33" s="76" t="s">
        <v>132</v>
      </c>
      <c r="W33" s="76">
        <f>100*14640.6/134758.1</f>
        <v>10.864356205675206</v>
      </c>
      <c r="X33" s="76">
        <v>1</v>
      </c>
      <c r="Y33" s="76" t="s">
        <v>132</v>
      </c>
      <c r="Z33" s="76" t="s">
        <v>132</v>
      </c>
      <c r="AA33" s="76" t="s">
        <v>132</v>
      </c>
      <c r="AB33" s="76" t="s">
        <v>132</v>
      </c>
    </row>
    <row r="34" spans="1:28" ht="24" customHeight="1">
      <c r="A34" s="95"/>
      <c r="B34" s="33" t="s">
        <v>60</v>
      </c>
      <c r="C34" s="97"/>
      <c r="D34" s="100"/>
      <c r="E34" s="100"/>
      <c r="F34" s="88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39">
      <c r="A35" s="95"/>
      <c r="B35" s="29" t="s">
        <v>59</v>
      </c>
      <c r="C35" s="97"/>
      <c r="D35" s="100"/>
      <c r="E35" s="100"/>
      <c r="F35" s="8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33" customHeight="1">
      <c r="A36" s="83"/>
      <c r="B36" s="22" t="s">
        <v>61</v>
      </c>
      <c r="C36" s="98"/>
      <c r="D36" s="101"/>
      <c r="E36" s="101"/>
      <c r="F36" s="89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7.25" customHeight="1">
      <c r="A37" s="19" t="s">
        <v>63</v>
      </c>
      <c r="B37" s="6" t="s">
        <v>62</v>
      </c>
      <c r="C37" s="6"/>
      <c r="D37" s="36"/>
      <c r="E37" s="37">
        <v>15</v>
      </c>
      <c r="F37" s="5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231.75" customHeight="1">
      <c r="A38" s="10" t="s">
        <v>64</v>
      </c>
      <c r="B38" s="7" t="s">
        <v>66</v>
      </c>
      <c r="C38" s="7" t="s">
        <v>67</v>
      </c>
      <c r="D38" s="14"/>
      <c r="E38" s="15">
        <v>50</v>
      </c>
      <c r="F38" s="57" t="s">
        <v>37</v>
      </c>
      <c r="G38" s="44" t="s">
        <v>140</v>
      </c>
      <c r="H38" s="44">
        <v>1</v>
      </c>
      <c r="I38" s="44" t="s">
        <v>140</v>
      </c>
      <c r="J38" s="55">
        <v>1</v>
      </c>
      <c r="K38" s="44" t="s">
        <v>140</v>
      </c>
      <c r="L38" s="44">
        <v>1</v>
      </c>
      <c r="M38" s="44" t="s">
        <v>140</v>
      </c>
      <c r="N38" s="44">
        <v>1</v>
      </c>
      <c r="O38" s="44" t="s">
        <v>140</v>
      </c>
      <c r="P38" s="44">
        <v>1</v>
      </c>
      <c r="Q38" s="44" t="s">
        <v>141</v>
      </c>
      <c r="R38" s="44">
        <v>0</v>
      </c>
      <c r="S38" s="44" t="s">
        <v>140</v>
      </c>
      <c r="T38" s="45">
        <v>1</v>
      </c>
      <c r="U38" s="44" t="s">
        <v>140</v>
      </c>
      <c r="V38" s="45">
        <v>1</v>
      </c>
      <c r="W38" s="44" t="s">
        <v>140</v>
      </c>
      <c r="X38" s="45">
        <v>1</v>
      </c>
      <c r="Y38" s="44" t="s">
        <v>140</v>
      </c>
      <c r="Z38" s="45">
        <v>1</v>
      </c>
      <c r="AA38" s="44" t="s">
        <v>141</v>
      </c>
      <c r="AB38" s="45">
        <v>0</v>
      </c>
    </row>
    <row r="39" spans="1:28" ht="278.25" customHeight="1">
      <c r="A39" s="10" t="s">
        <v>65</v>
      </c>
      <c r="B39" s="25" t="s">
        <v>69</v>
      </c>
      <c r="C39" s="7" t="s">
        <v>70</v>
      </c>
      <c r="D39" s="14"/>
      <c r="E39" s="15">
        <v>50</v>
      </c>
      <c r="F39" s="57" t="s">
        <v>37</v>
      </c>
      <c r="G39" s="44" t="s">
        <v>139</v>
      </c>
      <c r="H39" s="44">
        <v>1</v>
      </c>
      <c r="I39" s="44" t="s">
        <v>139</v>
      </c>
      <c r="J39" s="44">
        <v>1</v>
      </c>
      <c r="K39" s="44" t="s">
        <v>139</v>
      </c>
      <c r="L39" s="44">
        <v>1</v>
      </c>
      <c r="M39" s="44" t="s">
        <v>139</v>
      </c>
      <c r="N39" s="44">
        <v>1</v>
      </c>
      <c r="O39" s="44" t="s">
        <v>139</v>
      </c>
      <c r="P39" s="44">
        <v>1</v>
      </c>
      <c r="Q39" s="44" t="s">
        <v>139</v>
      </c>
      <c r="R39" s="44">
        <v>1</v>
      </c>
      <c r="S39" s="44" t="s">
        <v>139</v>
      </c>
      <c r="T39" s="45">
        <v>1</v>
      </c>
      <c r="U39" s="44" t="s">
        <v>139</v>
      </c>
      <c r="V39" s="45">
        <v>1</v>
      </c>
      <c r="W39" s="44" t="s">
        <v>139</v>
      </c>
      <c r="X39" s="45">
        <v>1</v>
      </c>
      <c r="Y39" s="44" t="s">
        <v>139</v>
      </c>
      <c r="Z39" s="45">
        <v>1</v>
      </c>
      <c r="AA39" s="44" t="s">
        <v>139</v>
      </c>
      <c r="AB39" s="45">
        <v>1</v>
      </c>
    </row>
    <row r="40" spans="1:28" ht="24" customHeight="1">
      <c r="A40" s="19" t="s">
        <v>72</v>
      </c>
      <c r="B40" s="6" t="s">
        <v>71</v>
      </c>
      <c r="C40" s="6"/>
      <c r="D40" s="36"/>
      <c r="E40" s="37">
        <v>15</v>
      </c>
      <c r="F40" s="57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ht="408.75" customHeight="1">
      <c r="A41" s="10" t="s">
        <v>74</v>
      </c>
      <c r="B41" s="7" t="s">
        <v>73</v>
      </c>
      <c r="C41" s="7" t="s">
        <v>82</v>
      </c>
      <c r="D41" s="14"/>
      <c r="E41" s="15">
        <v>10</v>
      </c>
      <c r="F41" s="57" t="s">
        <v>37</v>
      </c>
      <c r="G41" s="55" t="s">
        <v>151</v>
      </c>
      <c r="H41" s="45" t="s">
        <v>132</v>
      </c>
      <c r="I41" s="55" t="s">
        <v>151</v>
      </c>
      <c r="J41" s="45" t="s">
        <v>132</v>
      </c>
      <c r="K41" s="55" t="s">
        <v>151</v>
      </c>
      <c r="L41" s="45" t="s">
        <v>132</v>
      </c>
      <c r="M41" s="55" t="s">
        <v>151</v>
      </c>
      <c r="N41" s="45" t="s">
        <v>132</v>
      </c>
      <c r="O41" s="55" t="s">
        <v>151</v>
      </c>
      <c r="P41" s="45" t="s">
        <v>132</v>
      </c>
      <c r="Q41" s="55" t="s">
        <v>151</v>
      </c>
      <c r="R41" s="45" t="s">
        <v>132</v>
      </c>
      <c r="S41" s="55" t="s">
        <v>151</v>
      </c>
      <c r="T41" s="45" t="s">
        <v>132</v>
      </c>
      <c r="U41" s="55" t="s">
        <v>151</v>
      </c>
      <c r="V41" s="45" t="s">
        <v>132</v>
      </c>
      <c r="W41" s="55" t="s">
        <v>151</v>
      </c>
      <c r="X41" s="45" t="s">
        <v>132</v>
      </c>
      <c r="Y41" s="55" t="s">
        <v>151</v>
      </c>
      <c r="Z41" s="45" t="s">
        <v>132</v>
      </c>
      <c r="AA41" s="55" t="s">
        <v>151</v>
      </c>
      <c r="AB41" s="45" t="s">
        <v>132</v>
      </c>
    </row>
    <row r="42" spans="1:28" ht="69" customHeight="1">
      <c r="A42" s="81" t="s">
        <v>75</v>
      </c>
      <c r="B42" s="11" t="s">
        <v>83</v>
      </c>
      <c r="C42" s="79"/>
      <c r="D42" s="84" t="s">
        <v>29</v>
      </c>
      <c r="E42" s="84">
        <v>10</v>
      </c>
      <c r="F42" s="87" t="s">
        <v>37</v>
      </c>
      <c r="G42" s="73" t="s">
        <v>151</v>
      </c>
      <c r="H42" s="70" t="s">
        <v>132</v>
      </c>
      <c r="I42" s="73" t="s">
        <v>151</v>
      </c>
      <c r="J42" s="70" t="s">
        <v>132</v>
      </c>
      <c r="K42" s="73" t="s">
        <v>151</v>
      </c>
      <c r="L42" s="70" t="s">
        <v>132</v>
      </c>
      <c r="M42" s="73" t="s">
        <v>151</v>
      </c>
      <c r="N42" s="70" t="s">
        <v>132</v>
      </c>
      <c r="O42" s="73" t="s">
        <v>151</v>
      </c>
      <c r="P42" s="70" t="s">
        <v>132</v>
      </c>
      <c r="Q42" s="73" t="s">
        <v>151</v>
      </c>
      <c r="R42" s="70" t="s">
        <v>132</v>
      </c>
      <c r="S42" s="73" t="s">
        <v>151</v>
      </c>
      <c r="T42" s="70" t="s">
        <v>132</v>
      </c>
      <c r="U42" s="73" t="s">
        <v>151</v>
      </c>
      <c r="V42" s="70" t="s">
        <v>132</v>
      </c>
      <c r="W42" s="73" t="s">
        <v>151</v>
      </c>
      <c r="X42" s="70" t="s">
        <v>132</v>
      </c>
      <c r="Y42" s="73" t="s">
        <v>151</v>
      </c>
      <c r="Z42" s="70" t="s">
        <v>132</v>
      </c>
      <c r="AA42" s="73" t="s">
        <v>151</v>
      </c>
      <c r="AB42" s="70" t="s">
        <v>132</v>
      </c>
    </row>
    <row r="43" spans="1:28" ht="33.75" customHeight="1">
      <c r="A43" s="82"/>
      <c r="B43" s="38" t="s">
        <v>84</v>
      </c>
      <c r="C43" s="80"/>
      <c r="D43" s="85"/>
      <c r="E43" s="85"/>
      <c r="F43" s="88"/>
      <c r="G43" s="74"/>
      <c r="H43" s="71"/>
      <c r="I43" s="74"/>
      <c r="J43" s="71"/>
      <c r="K43" s="74"/>
      <c r="L43" s="71"/>
      <c r="M43" s="74"/>
      <c r="N43" s="71"/>
      <c r="O43" s="74"/>
      <c r="P43" s="71"/>
      <c r="Q43" s="74"/>
      <c r="R43" s="71"/>
      <c r="S43" s="74"/>
      <c r="T43" s="71"/>
      <c r="U43" s="74"/>
      <c r="V43" s="71"/>
      <c r="W43" s="74"/>
      <c r="X43" s="71"/>
      <c r="Y43" s="74"/>
      <c r="Z43" s="71"/>
      <c r="AA43" s="74"/>
      <c r="AB43" s="71"/>
    </row>
    <row r="44" spans="1:28" ht="195.75" customHeight="1">
      <c r="A44" s="82"/>
      <c r="B44" s="29" t="s">
        <v>85</v>
      </c>
      <c r="C44" s="80"/>
      <c r="D44" s="85"/>
      <c r="E44" s="85"/>
      <c r="F44" s="88"/>
      <c r="G44" s="74"/>
      <c r="H44" s="71"/>
      <c r="I44" s="74"/>
      <c r="J44" s="71"/>
      <c r="K44" s="74"/>
      <c r="L44" s="71"/>
      <c r="M44" s="74"/>
      <c r="N44" s="71"/>
      <c r="O44" s="74"/>
      <c r="P44" s="71"/>
      <c r="Q44" s="74"/>
      <c r="R44" s="71"/>
      <c r="S44" s="74"/>
      <c r="T44" s="71"/>
      <c r="U44" s="74"/>
      <c r="V44" s="71"/>
      <c r="W44" s="74"/>
      <c r="X44" s="71"/>
      <c r="Y44" s="74"/>
      <c r="Z44" s="71"/>
      <c r="AA44" s="74"/>
      <c r="AB44" s="71"/>
    </row>
    <row r="45" spans="1:28" ht="117" customHeight="1">
      <c r="A45" s="83"/>
      <c r="B45" s="22" t="s">
        <v>86</v>
      </c>
      <c r="C45" s="39" t="s">
        <v>87</v>
      </c>
      <c r="D45" s="86"/>
      <c r="E45" s="86"/>
      <c r="F45" s="89"/>
      <c r="G45" s="75"/>
      <c r="H45" s="72"/>
      <c r="I45" s="75"/>
      <c r="J45" s="72"/>
      <c r="K45" s="75"/>
      <c r="L45" s="72"/>
      <c r="M45" s="75"/>
      <c r="N45" s="72"/>
      <c r="O45" s="75"/>
      <c r="P45" s="72"/>
      <c r="Q45" s="75"/>
      <c r="R45" s="72"/>
      <c r="S45" s="75"/>
      <c r="T45" s="72"/>
      <c r="U45" s="75"/>
      <c r="V45" s="72"/>
      <c r="W45" s="75"/>
      <c r="X45" s="72"/>
      <c r="Y45" s="75"/>
      <c r="Z45" s="72"/>
      <c r="AA45" s="75"/>
      <c r="AB45" s="72"/>
    </row>
    <row r="46" spans="1:28" ht="183" customHeight="1">
      <c r="A46" s="10" t="s">
        <v>76</v>
      </c>
      <c r="B46" s="7" t="s">
        <v>88</v>
      </c>
      <c r="C46" s="7" t="s">
        <v>89</v>
      </c>
      <c r="D46" s="14"/>
      <c r="E46" s="15">
        <v>5</v>
      </c>
      <c r="F46" s="57" t="s">
        <v>37</v>
      </c>
      <c r="G46" s="44" t="s">
        <v>142</v>
      </c>
      <c r="H46" s="45">
        <v>1</v>
      </c>
      <c r="I46" s="44" t="s">
        <v>142</v>
      </c>
      <c r="J46" s="45">
        <v>1</v>
      </c>
      <c r="K46" s="44" t="s">
        <v>142</v>
      </c>
      <c r="L46" s="45">
        <v>1</v>
      </c>
      <c r="M46" s="44" t="s">
        <v>142</v>
      </c>
      <c r="N46" s="45">
        <v>1</v>
      </c>
      <c r="O46" s="44" t="s">
        <v>142</v>
      </c>
      <c r="P46" s="45">
        <v>1</v>
      </c>
      <c r="Q46" s="44" t="s">
        <v>142</v>
      </c>
      <c r="R46" s="45">
        <v>1</v>
      </c>
      <c r="S46" s="44" t="s">
        <v>142</v>
      </c>
      <c r="T46" s="45">
        <v>1</v>
      </c>
      <c r="U46" s="44" t="s">
        <v>142</v>
      </c>
      <c r="V46" s="45">
        <v>1</v>
      </c>
      <c r="W46" s="44" t="s">
        <v>142</v>
      </c>
      <c r="X46" s="45">
        <v>1</v>
      </c>
      <c r="Y46" s="44" t="s">
        <v>142</v>
      </c>
      <c r="Z46" s="45">
        <v>1</v>
      </c>
      <c r="AA46" s="44" t="s">
        <v>143</v>
      </c>
      <c r="AB46" s="45">
        <v>0</v>
      </c>
    </row>
    <row r="47" spans="1:28" ht="188.25" customHeight="1">
      <c r="A47" s="10" t="s">
        <v>77</v>
      </c>
      <c r="B47" s="7" t="s">
        <v>90</v>
      </c>
      <c r="C47" s="7" t="s">
        <v>91</v>
      </c>
      <c r="D47" s="14"/>
      <c r="E47" s="15">
        <v>10</v>
      </c>
      <c r="F47" s="57" t="s">
        <v>44</v>
      </c>
      <c r="G47" s="45" t="s">
        <v>132</v>
      </c>
      <c r="H47" s="45" t="s">
        <v>132</v>
      </c>
      <c r="I47" s="44" t="s">
        <v>137</v>
      </c>
      <c r="J47" s="45">
        <v>1</v>
      </c>
      <c r="K47" s="45" t="s">
        <v>132</v>
      </c>
      <c r="L47" s="45" t="s">
        <v>132</v>
      </c>
      <c r="M47" s="45" t="s">
        <v>132</v>
      </c>
      <c r="N47" s="45" t="s">
        <v>132</v>
      </c>
      <c r="O47" s="44" t="s">
        <v>137</v>
      </c>
      <c r="P47" s="45">
        <v>1</v>
      </c>
      <c r="Q47" s="44" t="s">
        <v>137</v>
      </c>
      <c r="R47" s="45">
        <v>1</v>
      </c>
      <c r="S47" s="44" t="s">
        <v>137</v>
      </c>
      <c r="T47" s="45">
        <v>1</v>
      </c>
      <c r="U47" s="44" t="s">
        <v>137</v>
      </c>
      <c r="V47" s="45">
        <v>1</v>
      </c>
      <c r="W47" s="44" t="s">
        <v>137</v>
      </c>
      <c r="X47" s="45">
        <v>1</v>
      </c>
      <c r="Y47" s="44" t="s">
        <v>137</v>
      </c>
      <c r="Z47" s="45">
        <v>1</v>
      </c>
      <c r="AA47" s="45" t="s">
        <v>132</v>
      </c>
      <c r="AB47" s="45" t="s">
        <v>132</v>
      </c>
    </row>
    <row r="48" spans="1:28" ht="263.25" customHeight="1">
      <c r="A48" s="48" t="s">
        <v>78</v>
      </c>
      <c r="B48" s="7" t="s">
        <v>92</v>
      </c>
      <c r="C48" s="7" t="s">
        <v>93</v>
      </c>
      <c r="D48" s="14" t="s">
        <v>13</v>
      </c>
      <c r="E48" s="15">
        <v>15</v>
      </c>
      <c r="F48" s="57" t="s">
        <v>94</v>
      </c>
      <c r="G48" s="45" t="s">
        <v>132</v>
      </c>
      <c r="H48" s="45" t="s">
        <v>132</v>
      </c>
      <c r="I48" s="44" t="s">
        <v>133</v>
      </c>
      <c r="J48" s="45">
        <v>0.5</v>
      </c>
      <c r="K48" s="45" t="s">
        <v>132</v>
      </c>
      <c r="L48" s="45" t="s">
        <v>132</v>
      </c>
      <c r="M48" s="45" t="s">
        <v>132</v>
      </c>
      <c r="N48" s="45" t="s">
        <v>132</v>
      </c>
      <c r="O48" s="44" t="s">
        <v>133</v>
      </c>
      <c r="P48" s="45">
        <v>0.5</v>
      </c>
      <c r="Q48" s="44" t="s">
        <v>133</v>
      </c>
      <c r="R48" s="45">
        <v>0.5</v>
      </c>
      <c r="S48" s="44" t="s">
        <v>134</v>
      </c>
      <c r="T48" s="45">
        <v>0.25</v>
      </c>
      <c r="U48" s="45" t="s">
        <v>132</v>
      </c>
      <c r="V48" s="45" t="s">
        <v>132</v>
      </c>
      <c r="W48" s="45" t="s">
        <v>132</v>
      </c>
      <c r="X48" s="45" t="s">
        <v>132</v>
      </c>
      <c r="Y48" s="45" t="s">
        <v>132</v>
      </c>
      <c r="Z48" s="45" t="s">
        <v>132</v>
      </c>
      <c r="AA48" s="45" t="s">
        <v>132</v>
      </c>
      <c r="AB48" s="45" t="s">
        <v>132</v>
      </c>
    </row>
    <row r="49" spans="1:28" ht="126.75" customHeight="1">
      <c r="A49" s="48" t="s">
        <v>95</v>
      </c>
      <c r="B49" s="7" t="s">
        <v>96</v>
      </c>
      <c r="C49" s="7" t="s">
        <v>97</v>
      </c>
      <c r="D49" s="14" t="s">
        <v>13</v>
      </c>
      <c r="E49" s="15">
        <v>15</v>
      </c>
      <c r="F49" s="57" t="s">
        <v>94</v>
      </c>
      <c r="G49" s="45" t="s">
        <v>132</v>
      </c>
      <c r="H49" s="45" t="s">
        <v>132</v>
      </c>
      <c r="I49" s="45">
        <v>0</v>
      </c>
      <c r="J49" s="45">
        <v>1</v>
      </c>
      <c r="K49" s="45" t="s">
        <v>132</v>
      </c>
      <c r="L49" s="45" t="s">
        <v>132</v>
      </c>
      <c r="M49" s="45" t="s">
        <v>132</v>
      </c>
      <c r="N49" s="45" t="s">
        <v>132</v>
      </c>
      <c r="O49" s="45">
        <v>0</v>
      </c>
      <c r="P49" s="45">
        <v>1</v>
      </c>
      <c r="Q49" s="45">
        <v>1</v>
      </c>
      <c r="R49" s="45">
        <v>0</v>
      </c>
      <c r="S49" s="45">
        <v>2</v>
      </c>
      <c r="T49" s="45">
        <v>0</v>
      </c>
      <c r="U49" s="45" t="s">
        <v>132</v>
      </c>
      <c r="V49" s="45" t="s">
        <v>132</v>
      </c>
      <c r="W49" s="45" t="s">
        <v>132</v>
      </c>
      <c r="X49" s="45" t="s">
        <v>132</v>
      </c>
      <c r="Y49" s="45" t="s">
        <v>132</v>
      </c>
      <c r="Z49" s="45" t="s">
        <v>132</v>
      </c>
      <c r="AA49" s="45" t="s">
        <v>132</v>
      </c>
      <c r="AB49" s="45" t="s">
        <v>132</v>
      </c>
    </row>
    <row r="50" spans="1:28" ht="81" customHeight="1">
      <c r="A50" s="48" t="s">
        <v>79</v>
      </c>
      <c r="B50" s="7" t="s">
        <v>98</v>
      </c>
      <c r="C50" s="7" t="s">
        <v>97</v>
      </c>
      <c r="D50" s="14" t="s">
        <v>13</v>
      </c>
      <c r="E50" s="15">
        <v>10</v>
      </c>
      <c r="F50" s="57" t="s">
        <v>94</v>
      </c>
      <c r="G50" s="45" t="s">
        <v>132</v>
      </c>
      <c r="H50" s="45" t="s">
        <v>132</v>
      </c>
      <c r="I50" s="45">
        <v>0</v>
      </c>
      <c r="J50" s="45">
        <v>1</v>
      </c>
      <c r="K50" s="45" t="s">
        <v>132</v>
      </c>
      <c r="L50" s="45" t="s">
        <v>132</v>
      </c>
      <c r="M50" s="45" t="s">
        <v>132</v>
      </c>
      <c r="N50" s="45" t="s">
        <v>132</v>
      </c>
      <c r="O50" s="45">
        <v>0</v>
      </c>
      <c r="P50" s="45">
        <v>1</v>
      </c>
      <c r="Q50" s="45">
        <v>0</v>
      </c>
      <c r="R50" s="45">
        <v>1</v>
      </c>
      <c r="S50" s="45">
        <v>0</v>
      </c>
      <c r="T50" s="45">
        <v>1</v>
      </c>
      <c r="U50" s="45" t="s">
        <v>132</v>
      </c>
      <c r="V50" s="45" t="s">
        <v>132</v>
      </c>
      <c r="W50" s="45" t="s">
        <v>132</v>
      </c>
      <c r="X50" s="45" t="s">
        <v>132</v>
      </c>
      <c r="Y50" s="45" t="s">
        <v>132</v>
      </c>
      <c r="Z50" s="45" t="s">
        <v>132</v>
      </c>
      <c r="AA50" s="45" t="s">
        <v>132</v>
      </c>
      <c r="AB50" s="45" t="s">
        <v>132</v>
      </c>
    </row>
    <row r="51" spans="1:28" ht="96.75" customHeight="1">
      <c r="A51" s="48" t="s">
        <v>80</v>
      </c>
      <c r="B51" s="7" t="s">
        <v>99</v>
      </c>
      <c r="C51" s="7" t="s">
        <v>97</v>
      </c>
      <c r="D51" s="14" t="s">
        <v>13</v>
      </c>
      <c r="E51" s="15">
        <v>15</v>
      </c>
      <c r="F51" s="57" t="s">
        <v>94</v>
      </c>
      <c r="G51" s="45" t="s">
        <v>132</v>
      </c>
      <c r="H51" s="45" t="s">
        <v>132</v>
      </c>
      <c r="I51" s="45">
        <v>0</v>
      </c>
      <c r="J51" s="45">
        <v>1</v>
      </c>
      <c r="K51" s="45" t="s">
        <v>132</v>
      </c>
      <c r="L51" s="45" t="s">
        <v>132</v>
      </c>
      <c r="M51" s="45" t="s">
        <v>132</v>
      </c>
      <c r="N51" s="45" t="s">
        <v>132</v>
      </c>
      <c r="O51" s="45">
        <v>0</v>
      </c>
      <c r="P51" s="45">
        <v>1</v>
      </c>
      <c r="Q51" s="45">
        <v>0</v>
      </c>
      <c r="R51" s="45">
        <v>1</v>
      </c>
      <c r="S51" s="49">
        <v>23</v>
      </c>
      <c r="T51" s="45">
        <v>0</v>
      </c>
      <c r="U51" s="45" t="s">
        <v>132</v>
      </c>
      <c r="V51" s="45" t="s">
        <v>132</v>
      </c>
      <c r="W51" s="45" t="s">
        <v>132</v>
      </c>
      <c r="X51" s="45" t="s">
        <v>132</v>
      </c>
      <c r="Y51" s="45" t="s">
        <v>132</v>
      </c>
      <c r="Z51" s="45" t="s">
        <v>132</v>
      </c>
      <c r="AA51" s="45" t="s">
        <v>132</v>
      </c>
      <c r="AB51" s="45" t="s">
        <v>132</v>
      </c>
    </row>
    <row r="52" spans="1:28" ht="231" customHeight="1">
      <c r="A52" s="48" t="s">
        <v>81</v>
      </c>
      <c r="B52" s="7" t="s">
        <v>100</v>
      </c>
      <c r="C52" s="7" t="s">
        <v>101</v>
      </c>
      <c r="D52" s="14" t="s">
        <v>13</v>
      </c>
      <c r="E52" s="15">
        <v>10</v>
      </c>
      <c r="F52" s="57" t="s">
        <v>94</v>
      </c>
      <c r="G52" s="45" t="s">
        <v>132</v>
      </c>
      <c r="H52" s="45" t="s">
        <v>132</v>
      </c>
      <c r="I52" s="45">
        <f>0/1*100</f>
        <v>0</v>
      </c>
      <c r="J52" s="45">
        <v>0</v>
      </c>
      <c r="K52" s="45" t="s">
        <v>132</v>
      </c>
      <c r="L52" s="45" t="s">
        <v>132</v>
      </c>
      <c r="M52" s="45" t="s">
        <v>132</v>
      </c>
      <c r="N52" s="45" t="s">
        <v>132</v>
      </c>
      <c r="O52" s="45">
        <f>1/45*100</f>
        <v>2.2222222222222223</v>
      </c>
      <c r="P52" s="45">
        <v>0</v>
      </c>
      <c r="Q52" s="45">
        <f>0/1*100</f>
        <v>0</v>
      </c>
      <c r="R52" s="45">
        <v>0</v>
      </c>
      <c r="S52" s="45">
        <f>4/5*100</f>
        <v>80</v>
      </c>
      <c r="T52" s="45">
        <v>0.5</v>
      </c>
      <c r="U52" s="45" t="s">
        <v>132</v>
      </c>
      <c r="V52" s="45" t="s">
        <v>132</v>
      </c>
      <c r="W52" s="45" t="s">
        <v>132</v>
      </c>
      <c r="X52" s="45" t="s">
        <v>132</v>
      </c>
      <c r="Y52" s="45" t="s">
        <v>132</v>
      </c>
      <c r="Z52" s="45" t="s">
        <v>132</v>
      </c>
      <c r="AA52" s="45" t="s">
        <v>132</v>
      </c>
      <c r="AB52" s="45" t="s">
        <v>132</v>
      </c>
    </row>
    <row r="53" spans="1:28" ht="24" customHeight="1">
      <c r="A53" s="19" t="s">
        <v>103</v>
      </c>
      <c r="B53" s="6" t="s">
        <v>102</v>
      </c>
      <c r="C53" s="6"/>
      <c r="D53" s="36"/>
      <c r="E53" s="37">
        <v>7</v>
      </c>
      <c r="F53" s="57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ht="293.25" customHeight="1">
      <c r="A54" s="10" t="s">
        <v>105</v>
      </c>
      <c r="B54" s="7" t="s">
        <v>104</v>
      </c>
      <c r="C54" s="23"/>
      <c r="D54" s="14" t="s">
        <v>29</v>
      </c>
      <c r="E54" s="15">
        <v>25</v>
      </c>
      <c r="F54" s="57" t="s">
        <v>44</v>
      </c>
      <c r="G54" s="45">
        <f>100*42.1/67</f>
        <v>62.83582089552239</v>
      </c>
      <c r="H54" s="63">
        <f>1-((G54-50)/50)</f>
        <v>0.7432835820895523</v>
      </c>
      <c r="I54" s="45">
        <f>100*384.2/555</f>
        <v>69.22522522522523</v>
      </c>
      <c r="J54" s="63">
        <f>1-((I54-50)/50)</f>
        <v>0.6154954954954954</v>
      </c>
      <c r="K54" s="45" t="s">
        <v>135</v>
      </c>
      <c r="L54" s="45">
        <v>1</v>
      </c>
      <c r="M54" s="45" t="s">
        <v>135</v>
      </c>
      <c r="N54" s="45">
        <v>1</v>
      </c>
      <c r="O54" s="45" t="s">
        <v>135</v>
      </c>
      <c r="P54" s="45">
        <v>1</v>
      </c>
      <c r="Q54" s="45">
        <f>100*3.3/3.3</f>
        <v>100</v>
      </c>
      <c r="R54" s="45">
        <v>0</v>
      </c>
      <c r="S54" s="45" t="s">
        <v>135</v>
      </c>
      <c r="T54" s="45">
        <v>1</v>
      </c>
      <c r="U54" s="45" t="s">
        <v>135</v>
      </c>
      <c r="V54" s="45">
        <v>1</v>
      </c>
      <c r="W54" s="49">
        <f>100*391.99/590.52</f>
        <v>66.38047822258349</v>
      </c>
      <c r="X54" s="64">
        <f>1-((66.38-50)/50)</f>
        <v>0.6724000000000001</v>
      </c>
      <c r="Y54" s="45" t="s">
        <v>135</v>
      </c>
      <c r="Z54" s="45">
        <v>1</v>
      </c>
      <c r="AA54" s="45" t="s">
        <v>135</v>
      </c>
      <c r="AB54" s="45">
        <v>1</v>
      </c>
    </row>
    <row r="55" spans="1:28" ht="307.5" customHeight="1">
      <c r="A55" s="10" t="s">
        <v>106</v>
      </c>
      <c r="B55" s="7" t="s">
        <v>107</v>
      </c>
      <c r="C55" s="23"/>
      <c r="D55" s="14" t="s">
        <v>29</v>
      </c>
      <c r="E55" s="15">
        <v>25</v>
      </c>
      <c r="F55" s="57" t="s">
        <v>44</v>
      </c>
      <c r="G55" s="45" t="s">
        <v>132</v>
      </c>
      <c r="H55" s="45" t="s">
        <v>132</v>
      </c>
      <c r="I55" s="45" t="s">
        <v>135</v>
      </c>
      <c r="J55" s="45">
        <v>1</v>
      </c>
      <c r="K55" s="45" t="s">
        <v>132</v>
      </c>
      <c r="L55" s="45" t="s">
        <v>132</v>
      </c>
      <c r="M55" s="45" t="s">
        <v>132</v>
      </c>
      <c r="N55" s="45" t="s">
        <v>132</v>
      </c>
      <c r="O55" s="45" t="s">
        <v>135</v>
      </c>
      <c r="P55" s="45">
        <v>1</v>
      </c>
      <c r="Q55" s="45" t="s">
        <v>135</v>
      </c>
      <c r="R55" s="45">
        <v>1</v>
      </c>
      <c r="S55" s="45" t="s">
        <v>135</v>
      </c>
      <c r="T55" s="45">
        <v>1</v>
      </c>
      <c r="U55" s="45" t="s">
        <v>135</v>
      </c>
      <c r="V55" s="45">
        <v>1</v>
      </c>
      <c r="W55" s="45" t="s">
        <v>135</v>
      </c>
      <c r="X55" s="45">
        <v>1</v>
      </c>
      <c r="Y55" s="45" t="s">
        <v>135</v>
      </c>
      <c r="Z55" s="45">
        <v>1</v>
      </c>
      <c r="AA55" s="45" t="s">
        <v>132</v>
      </c>
      <c r="AB55" s="45" t="s">
        <v>132</v>
      </c>
    </row>
    <row r="56" spans="1:28" ht="330.75" customHeight="1">
      <c r="A56" s="10" t="s">
        <v>108</v>
      </c>
      <c r="B56" s="7" t="s">
        <v>109</v>
      </c>
      <c r="C56"/>
      <c r="D56" s="14" t="s">
        <v>29</v>
      </c>
      <c r="E56" s="15">
        <v>25</v>
      </c>
      <c r="F56" s="57" t="s">
        <v>44</v>
      </c>
      <c r="G56" s="45" t="s">
        <v>135</v>
      </c>
      <c r="H56" s="45">
        <v>1</v>
      </c>
      <c r="I56" s="45">
        <f>100*3142.64/4429.9</f>
        <v>70.94155624280458</v>
      </c>
      <c r="J56" s="63">
        <f>1-((I56-50)/50)</f>
        <v>0.5811688751439084</v>
      </c>
      <c r="K56" s="45" t="s">
        <v>135</v>
      </c>
      <c r="L56" s="45">
        <v>1</v>
      </c>
      <c r="M56" s="45" t="s">
        <v>135</v>
      </c>
      <c r="N56" s="45">
        <v>1</v>
      </c>
      <c r="O56" s="45" t="s">
        <v>135</v>
      </c>
      <c r="P56" s="45">
        <v>1</v>
      </c>
      <c r="Q56" s="45" t="s">
        <v>135</v>
      </c>
      <c r="R56" s="45">
        <v>1</v>
      </c>
      <c r="S56" s="45">
        <f>100*65.8/65.8</f>
        <v>100</v>
      </c>
      <c r="T56" s="45">
        <v>0</v>
      </c>
      <c r="U56" s="45" t="s">
        <v>135</v>
      </c>
      <c r="V56" s="45">
        <v>1</v>
      </c>
      <c r="W56" s="45">
        <f>100*226.2/226.2</f>
        <v>100</v>
      </c>
      <c r="X56" s="45">
        <v>0</v>
      </c>
      <c r="Y56" s="45" t="s">
        <v>135</v>
      </c>
      <c r="Z56" s="45">
        <v>1</v>
      </c>
      <c r="AA56" s="45" t="s">
        <v>135</v>
      </c>
      <c r="AB56" s="45">
        <v>1</v>
      </c>
    </row>
    <row r="57" spans="1:28" ht="183.75" customHeight="1">
      <c r="A57" s="10" t="s">
        <v>110</v>
      </c>
      <c r="B57" s="7" t="s">
        <v>111</v>
      </c>
      <c r="C57" s="7" t="s">
        <v>112</v>
      </c>
      <c r="D57" s="14" t="s">
        <v>29</v>
      </c>
      <c r="E57" s="15">
        <v>25</v>
      </c>
      <c r="F57" s="57" t="s">
        <v>44</v>
      </c>
      <c r="G57" s="45" t="s">
        <v>136</v>
      </c>
      <c r="H57" s="45">
        <v>1</v>
      </c>
      <c r="I57" s="49">
        <f>100*3682.96/1042510.04</f>
        <v>0.35327813245808165</v>
      </c>
      <c r="J57" s="64">
        <f>1-(I57/2)</f>
        <v>0.8233609337709592</v>
      </c>
      <c r="K57" s="45" t="s">
        <v>136</v>
      </c>
      <c r="L57" s="45">
        <v>1</v>
      </c>
      <c r="M57" s="45" t="s">
        <v>136</v>
      </c>
      <c r="N57" s="45">
        <v>1</v>
      </c>
      <c r="O57" s="45" t="s">
        <v>136</v>
      </c>
      <c r="P57" s="45">
        <v>1</v>
      </c>
      <c r="Q57" s="45">
        <f>100*2906.1/276132.7</f>
        <v>1.052428777902798</v>
      </c>
      <c r="R57" s="63">
        <f>1-(Q57/2)</f>
        <v>0.47378561104860095</v>
      </c>
      <c r="S57" s="45">
        <f>100*352.5/1828024</f>
        <v>0.019283116633042018</v>
      </c>
      <c r="T57" s="63">
        <f>1-(S57/2)</f>
        <v>0.990358441683479</v>
      </c>
      <c r="U57" s="52">
        <f>100*0.3/958513.1</f>
        <v>3.129847677616508E-05</v>
      </c>
      <c r="V57" s="63">
        <f>1-(U57/2)</f>
        <v>0.999984350761612</v>
      </c>
      <c r="W57" s="45">
        <f>100*353.2/75067.71</f>
        <v>0.470508558206984</v>
      </c>
      <c r="X57" s="63">
        <f>1-(W57/2)</f>
        <v>0.764745720896508</v>
      </c>
      <c r="Y57" s="45" t="s">
        <v>136</v>
      </c>
      <c r="Z57" s="45">
        <v>1</v>
      </c>
      <c r="AA57" s="45" t="s">
        <v>136</v>
      </c>
      <c r="AB57" s="45">
        <v>1</v>
      </c>
    </row>
    <row r="58" spans="1:28" ht="42" customHeight="1">
      <c r="A58" s="19" t="s">
        <v>114</v>
      </c>
      <c r="B58" s="6" t="s">
        <v>113</v>
      </c>
      <c r="C58" s="6"/>
      <c r="D58" s="36"/>
      <c r="E58" s="37">
        <v>7</v>
      </c>
      <c r="F58" s="61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ht="39">
      <c r="A59" s="81" t="s">
        <v>115</v>
      </c>
      <c r="B59" s="34" t="s">
        <v>116</v>
      </c>
      <c r="C59" s="117"/>
      <c r="D59" s="84" t="s">
        <v>29</v>
      </c>
      <c r="E59" s="84">
        <v>60</v>
      </c>
      <c r="F59" s="87" t="s">
        <v>44</v>
      </c>
      <c r="G59" s="70">
        <f>100*3/3</f>
        <v>100</v>
      </c>
      <c r="H59" s="70">
        <f>G59/100</f>
        <v>1</v>
      </c>
      <c r="I59" s="70">
        <f>100*5/(26-4)</f>
        <v>22.727272727272727</v>
      </c>
      <c r="J59" s="114">
        <f>I59/100</f>
        <v>0.22727272727272727</v>
      </c>
      <c r="K59" s="70">
        <f>100*1/1</f>
        <v>100</v>
      </c>
      <c r="L59" s="70">
        <f>K59/100</f>
        <v>1</v>
      </c>
      <c r="M59" s="70">
        <f>100*2/(4-1)</f>
        <v>66.66666666666667</v>
      </c>
      <c r="N59" s="114">
        <f>M59/100</f>
        <v>0.6666666666666667</v>
      </c>
      <c r="O59" s="70">
        <f>100*2/7</f>
        <v>28.571428571428573</v>
      </c>
      <c r="P59" s="114">
        <f>O59/100</f>
        <v>0.28571428571428575</v>
      </c>
      <c r="Q59" s="70">
        <f>100*2/(11-2)</f>
        <v>22.22222222222222</v>
      </c>
      <c r="R59" s="114">
        <f>Q59/100</f>
        <v>0.2222222222222222</v>
      </c>
      <c r="S59" s="70">
        <f>100*0/(17-3)</f>
        <v>0</v>
      </c>
      <c r="T59" s="70">
        <f>S59/100</f>
        <v>0</v>
      </c>
      <c r="U59" s="70">
        <f>100*3/(8-3)</f>
        <v>60</v>
      </c>
      <c r="V59" s="70">
        <f>U59/100</f>
        <v>0.6</v>
      </c>
      <c r="W59" s="70">
        <f>100*4/6</f>
        <v>66.66666666666667</v>
      </c>
      <c r="X59" s="114">
        <f>W59/100</f>
        <v>0.6666666666666667</v>
      </c>
      <c r="Y59" s="70">
        <f>100*3/4</f>
        <v>75</v>
      </c>
      <c r="Z59" s="70">
        <f>Y59/100</f>
        <v>0.75</v>
      </c>
      <c r="AA59" s="70" t="s">
        <v>132</v>
      </c>
      <c r="AB59" s="70" t="s">
        <v>132</v>
      </c>
    </row>
    <row r="60" spans="1:28" ht="39" customHeight="1">
      <c r="A60" s="95"/>
      <c r="B60" s="30"/>
      <c r="C60" s="118"/>
      <c r="D60" s="85"/>
      <c r="E60" s="85"/>
      <c r="F60" s="88"/>
      <c r="G60" s="71"/>
      <c r="H60" s="71"/>
      <c r="I60" s="71"/>
      <c r="J60" s="115"/>
      <c r="K60" s="71"/>
      <c r="L60" s="71"/>
      <c r="M60" s="71"/>
      <c r="N60" s="115"/>
      <c r="O60" s="71"/>
      <c r="P60" s="115"/>
      <c r="Q60" s="71"/>
      <c r="R60" s="115"/>
      <c r="S60" s="71"/>
      <c r="T60" s="71"/>
      <c r="U60" s="71"/>
      <c r="V60" s="71"/>
      <c r="W60" s="71"/>
      <c r="X60" s="115"/>
      <c r="Y60" s="71"/>
      <c r="Z60" s="71"/>
      <c r="AA60" s="71"/>
      <c r="AB60" s="71"/>
    </row>
    <row r="61" spans="1:28" ht="123.75" customHeight="1">
      <c r="A61" s="95"/>
      <c r="B61" s="43" t="s">
        <v>117</v>
      </c>
      <c r="C61" s="118"/>
      <c r="D61" s="85"/>
      <c r="E61" s="85"/>
      <c r="F61" s="88"/>
      <c r="G61" s="71"/>
      <c r="H61" s="71"/>
      <c r="I61" s="71"/>
      <c r="J61" s="115"/>
      <c r="K61" s="71"/>
      <c r="L61" s="71"/>
      <c r="M61" s="71"/>
      <c r="N61" s="115"/>
      <c r="O61" s="71"/>
      <c r="P61" s="115"/>
      <c r="Q61" s="71"/>
      <c r="R61" s="115"/>
      <c r="S61" s="71"/>
      <c r="T61" s="71"/>
      <c r="U61" s="71"/>
      <c r="V61" s="71"/>
      <c r="W61" s="71"/>
      <c r="X61" s="115"/>
      <c r="Y61" s="71"/>
      <c r="Z61" s="71"/>
      <c r="AA61" s="71"/>
      <c r="AB61" s="71"/>
    </row>
    <row r="62" spans="1:28" ht="108.75" customHeight="1">
      <c r="A62" s="83"/>
      <c r="B62" s="35" t="s">
        <v>118</v>
      </c>
      <c r="C62" s="119"/>
      <c r="D62" s="86"/>
      <c r="E62" s="86"/>
      <c r="F62" s="89"/>
      <c r="G62" s="72"/>
      <c r="H62" s="72"/>
      <c r="I62" s="72"/>
      <c r="J62" s="116"/>
      <c r="K62" s="72"/>
      <c r="L62" s="72"/>
      <c r="M62" s="72"/>
      <c r="N62" s="116"/>
      <c r="O62" s="72"/>
      <c r="P62" s="116"/>
      <c r="Q62" s="72"/>
      <c r="R62" s="116"/>
      <c r="S62" s="72"/>
      <c r="T62" s="72"/>
      <c r="U62" s="72"/>
      <c r="V62" s="72"/>
      <c r="W62" s="72"/>
      <c r="X62" s="116"/>
      <c r="Y62" s="72"/>
      <c r="Z62" s="72"/>
      <c r="AA62" s="72"/>
      <c r="AB62" s="72"/>
    </row>
    <row r="63" spans="1:28" ht="39" customHeight="1">
      <c r="A63" s="81" t="s">
        <v>120</v>
      </c>
      <c r="B63" s="34" t="s">
        <v>119</v>
      </c>
      <c r="C63" s="121"/>
      <c r="D63" s="84" t="s">
        <v>29</v>
      </c>
      <c r="E63" s="84">
        <v>40</v>
      </c>
      <c r="F63" s="87" t="s">
        <v>44</v>
      </c>
      <c r="G63" s="120">
        <f>100*3/3</f>
        <v>100</v>
      </c>
      <c r="H63" s="120">
        <f>G63/100</f>
        <v>1</v>
      </c>
      <c r="I63" s="70">
        <f>100*26/27</f>
        <v>96.29629629629629</v>
      </c>
      <c r="J63" s="114">
        <f>I63/100</f>
        <v>0.9629629629629629</v>
      </c>
      <c r="K63" s="70">
        <f>100*1/1</f>
        <v>100</v>
      </c>
      <c r="L63" s="70">
        <f>K63/100</f>
        <v>1</v>
      </c>
      <c r="M63" s="70">
        <f>100*4/4</f>
        <v>100</v>
      </c>
      <c r="N63" s="70">
        <f>M63/100</f>
        <v>1</v>
      </c>
      <c r="O63" s="70">
        <f>100*7/7</f>
        <v>100</v>
      </c>
      <c r="P63" s="70">
        <f>O63/100</f>
        <v>1</v>
      </c>
      <c r="Q63" s="70">
        <f>100*10/10</f>
        <v>100</v>
      </c>
      <c r="R63" s="70">
        <f>Q63/100</f>
        <v>1</v>
      </c>
      <c r="S63" s="70">
        <f>100*17/17</f>
        <v>100</v>
      </c>
      <c r="T63" s="70">
        <f>S63/100</f>
        <v>1</v>
      </c>
      <c r="U63" s="70">
        <f>100*8/8</f>
        <v>100</v>
      </c>
      <c r="V63" s="70">
        <f>U63/100</f>
        <v>1</v>
      </c>
      <c r="W63" s="70">
        <f>100*6/6</f>
        <v>100</v>
      </c>
      <c r="X63" s="70">
        <f>W63/100</f>
        <v>1</v>
      </c>
      <c r="Y63" s="70">
        <f>100*4/4</f>
        <v>100</v>
      </c>
      <c r="Z63" s="70">
        <f>Y63/100</f>
        <v>1</v>
      </c>
      <c r="AA63" s="70">
        <f>100*1/1</f>
        <v>100</v>
      </c>
      <c r="AB63" s="70">
        <f>AA63/100</f>
        <v>1</v>
      </c>
    </row>
    <row r="64" spans="1:28" ht="30.75" customHeight="1">
      <c r="A64" s="95"/>
      <c r="B64" s="30"/>
      <c r="C64" s="121"/>
      <c r="D64" s="85"/>
      <c r="E64" s="85"/>
      <c r="F64" s="88"/>
      <c r="G64" s="120"/>
      <c r="H64" s="120"/>
      <c r="I64" s="71"/>
      <c r="J64" s="115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1:28" ht="144">
      <c r="A65" s="83"/>
      <c r="B65" s="35" t="s">
        <v>121</v>
      </c>
      <c r="C65" s="121"/>
      <c r="D65" s="86"/>
      <c r="E65" s="86"/>
      <c r="F65" s="89"/>
      <c r="G65" s="120"/>
      <c r="H65" s="120"/>
      <c r="I65" s="72"/>
      <c r="J65" s="116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5.75" customHeight="1">
      <c r="A66" s="19" t="s">
        <v>123</v>
      </c>
      <c r="B66" s="6" t="s">
        <v>122</v>
      </c>
      <c r="C66" s="41"/>
      <c r="D66" s="36"/>
      <c r="E66" s="37">
        <v>7</v>
      </c>
      <c r="F66" s="57"/>
      <c r="G66" s="51"/>
      <c r="H66" s="51"/>
      <c r="I66" s="45"/>
      <c r="J66" s="45"/>
      <c r="K66" s="50"/>
      <c r="L66" s="50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1:28" ht="15">
      <c r="A67" s="81" t="s">
        <v>124</v>
      </c>
      <c r="B67" s="24" t="s">
        <v>125</v>
      </c>
      <c r="C67" s="117"/>
      <c r="D67" s="84" t="s">
        <v>29</v>
      </c>
      <c r="E67" s="84">
        <v>100</v>
      </c>
      <c r="F67" s="87" t="s">
        <v>37</v>
      </c>
      <c r="G67" s="70">
        <v>36.5</v>
      </c>
      <c r="H67" s="70">
        <v>0</v>
      </c>
      <c r="I67" s="123">
        <v>5.4</v>
      </c>
      <c r="J67" s="123">
        <f>1-((5.4-3)/3)</f>
        <v>0.19999999999999984</v>
      </c>
      <c r="K67" s="70">
        <v>89.8</v>
      </c>
      <c r="L67" s="70">
        <v>0</v>
      </c>
      <c r="M67" s="70">
        <v>-96.6</v>
      </c>
      <c r="N67" s="70">
        <v>1</v>
      </c>
      <c r="O67" s="70">
        <v>-17</v>
      </c>
      <c r="P67" s="70">
        <v>1</v>
      </c>
      <c r="Q67" s="70">
        <v>0</v>
      </c>
      <c r="R67" s="70">
        <v>1</v>
      </c>
      <c r="S67" s="70">
        <v>-12.9</v>
      </c>
      <c r="T67" s="70">
        <v>1</v>
      </c>
      <c r="U67" s="70">
        <v>32.7</v>
      </c>
      <c r="V67" s="70">
        <v>0</v>
      </c>
      <c r="W67" s="70">
        <v>-0.6</v>
      </c>
      <c r="X67" s="70">
        <v>1</v>
      </c>
      <c r="Y67" s="70">
        <v>-32</v>
      </c>
      <c r="Z67" s="70">
        <v>1</v>
      </c>
      <c r="AA67" s="70">
        <v>34</v>
      </c>
      <c r="AB67" s="70">
        <v>0</v>
      </c>
    </row>
    <row r="68" spans="1:28" ht="25.5" customHeight="1">
      <c r="A68" s="95"/>
      <c r="B68" s="40"/>
      <c r="C68" s="118"/>
      <c r="D68" s="85"/>
      <c r="E68" s="85"/>
      <c r="F68" s="88"/>
      <c r="G68" s="71"/>
      <c r="H68" s="71"/>
      <c r="I68" s="124"/>
      <c r="J68" s="124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ht="96" customHeight="1">
      <c r="A69" s="95"/>
      <c r="B69" s="42" t="s">
        <v>129</v>
      </c>
      <c r="C69" s="122"/>
      <c r="D69" s="85"/>
      <c r="E69" s="85"/>
      <c r="F69" s="88"/>
      <c r="G69" s="71"/>
      <c r="H69" s="71"/>
      <c r="I69" s="124"/>
      <c r="J69" s="124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</row>
    <row r="70" spans="1:28" ht="30.75" customHeight="1">
      <c r="A70" s="83"/>
      <c r="B70" s="35"/>
      <c r="C70" s="53" t="s">
        <v>138</v>
      </c>
      <c r="D70" s="86"/>
      <c r="E70" s="86"/>
      <c r="F70" s="89"/>
      <c r="G70" s="72"/>
      <c r="H70" s="72"/>
      <c r="I70" s="125"/>
      <c r="J70" s="125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10" ht="15.75" customHeight="1">
      <c r="A71" s="65" t="s">
        <v>146</v>
      </c>
      <c r="B71" s="65"/>
      <c r="C71" s="65"/>
      <c r="D71" s="65"/>
      <c r="E71" s="65"/>
      <c r="F71" s="65"/>
      <c r="G71" s="65"/>
      <c r="H71" s="65"/>
      <c r="I71" s="65"/>
      <c r="J71" s="65"/>
    </row>
    <row r="72" spans="1:6" ht="18" customHeight="1">
      <c r="A72" s="68" t="s">
        <v>144</v>
      </c>
      <c r="B72" s="68"/>
      <c r="C72" s="68"/>
      <c r="D72" s="68"/>
      <c r="E72" s="68"/>
      <c r="F72" s="68"/>
    </row>
    <row r="73" spans="1:7" ht="21" customHeight="1">
      <c r="A73" s="69" t="s">
        <v>147</v>
      </c>
      <c r="B73" s="69"/>
      <c r="C73" s="69"/>
      <c r="D73" s="69"/>
      <c r="E73" s="69"/>
      <c r="F73" s="69"/>
      <c r="G73" s="66"/>
    </row>
    <row r="74" spans="1:6" ht="21" customHeight="1">
      <c r="A74" s="67" t="s">
        <v>145</v>
      </c>
      <c r="B74" s="67"/>
      <c r="C74" s="67"/>
      <c r="D74" s="67"/>
      <c r="E74" s="67"/>
      <c r="F74" s="67"/>
    </row>
    <row r="75" spans="1:6" ht="21" customHeight="1">
      <c r="A75" s="69" t="s">
        <v>148</v>
      </c>
      <c r="B75" s="69"/>
      <c r="C75" s="69"/>
      <c r="D75" s="69"/>
      <c r="E75" s="69"/>
      <c r="F75" s="69"/>
    </row>
    <row r="76" spans="1:6" ht="21" customHeight="1">
      <c r="A76" s="67" t="s">
        <v>149</v>
      </c>
      <c r="B76" s="67"/>
      <c r="C76" s="67"/>
      <c r="D76" s="67"/>
      <c r="E76" s="67"/>
      <c r="F76" s="67"/>
    </row>
    <row r="77" spans="1:6" ht="24.75" customHeight="1">
      <c r="A77" s="69" t="s">
        <v>150</v>
      </c>
      <c r="B77" s="69"/>
      <c r="C77" s="69"/>
      <c r="D77" s="69"/>
      <c r="E77" s="69"/>
      <c r="F77" s="69"/>
    </row>
    <row r="78" spans="1:6" ht="23.25" customHeight="1">
      <c r="A78" s="67" t="s">
        <v>149</v>
      </c>
      <c r="B78" s="67"/>
      <c r="C78" s="67"/>
      <c r="D78" s="67"/>
      <c r="E78" s="67"/>
      <c r="F78" s="67"/>
    </row>
  </sheetData>
  <sheetProtection/>
  <mergeCells count="190">
    <mergeCell ref="J1:L1"/>
    <mergeCell ref="Y67:Y70"/>
    <mergeCell ref="Z67:Z70"/>
    <mergeCell ref="AA67:AA70"/>
    <mergeCell ref="AB67:AB70"/>
    <mergeCell ref="S67:S70"/>
    <mergeCell ref="T67:T70"/>
    <mergeCell ref="U67:U70"/>
    <mergeCell ref="V67:V70"/>
    <mergeCell ref="W67:W70"/>
    <mergeCell ref="X67:X70"/>
    <mergeCell ref="M67:M70"/>
    <mergeCell ref="N67:N70"/>
    <mergeCell ref="O67:O70"/>
    <mergeCell ref="P67:P70"/>
    <mergeCell ref="Q67:Q70"/>
    <mergeCell ref="R67:R70"/>
    <mergeCell ref="A67:A70"/>
    <mergeCell ref="D67:D70"/>
    <mergeCell ref="E67:E70"/>
    <mergeCell ref="F67:F70"/>
    <mergeCell ref="G67:G70"/>
    <mergeCell ref="H67:H70"/>
    <mergeCell ref="Y63:Y65"/>
    <mergeCell ref="Z63:Z65"/>
    <mergeCell ref="AA63:AA65"/>
    <mergeCell ref="AB63:AB65"/>
    <mergeCell ref="C63:C65"/>
    <mergeCell ref="C67:C69"/>
    <mergeCell ref="I67:I70"/>
    <mergeCell ref="J67:J70"/>
    <mergeCell ref="K67:K70"/>
    <mergeCell ref="L67:L70"/>
    <mergeCell ref="S63:S65"/>
    <mergeCell ref="T63:T65"/>
    <mergeCell ref="U63:U65"/>
    <mergeCell ref="V63:V65"/>
    <mergeCell ref="W63:W65"/>
    <mergeCell ref="X63:X65"/>
    <mergeCell ref="M63:M65"/>
    <mergeCell ref="N63:N65"/>
    <mergeCell ref="O63:O65"/>
    <mergeCell ref="P63:P65"/>
    <mergeCell ref="Q63:Q65"/>
    <mergeCell ref="R63:R65"/>
    <mergeCell ref="I63:I65"/>
    <mergeCell ref="J63:J65"/>
    <mergeCell ref="K63:K65"/>
    <mergeCell ref="L63:L65"/>
    <mergeCell ref="G63:G65"/>
    <mergeCell ref="H63:H65"/>
    <mergeCell ref="AB59:AB62"/>
    <mergeCell ref="C59:C62"/>
    <mergeCell ref="A59:A62"/>
    <mergeCell ref="A63:A65"/>
    <mergeCell ref="D63:D65"/>
    <mergeCell ref="E63:E65"/>
    <mergeCell ref="F63:F65"/>
    <mergeCell ref="V59:V62"/>
    <mergeCell ref="W59:W62"/>
    <mergeCell ref="X59:X62"/>
    <mergeCell ref="Y59:Y62"/>
    <mergeCell ref="Z59:Z62"/>
    <mergeCell ref="AA59:AA62"/>
    <mergeCell ref="P59:P62"/>
    <mergeCell ref="Q59:Q62"/>
    <mergeCell ref="R59:R62"/>
    <mergeCell ref="S59:S62"/>
    <mergeCell ref="T59:T62"/>
    <mergeCell ref="U59:U62"/>
    <mergeCell ref="J59:J62"/>
    <mergeCell ref="K59:K62"/>
    <mergeCell ref="L59:L62"/>
    <mergeCell ref="M59:M62"/>
    <mergeCell ref="N59:N62"/>
    <mergeCell ref="O59:O62"/>
    <mergeCell ref="D59:D62"/>
    <mergeCell ref="E59:E62"/>
    <mergeCell ref="F59:F62"/>
    <mergeCell ref="G59:G62"/>
    <mergeCell ref="H59:H62"/>
    <mergeCell ref="I59:I62"/>
    <mergeCell ref="Y22:Y32"/>
    <mergeCell ref="Z22:Z32"/>
    <mergeCell ref="AA22:AA32"/>
    <mergeCell ref="AB22:AB32"/>
    <mergeCell ref="S22:S32"/>
    <mergeCell ref="T22:T32"/>
    <mergeCell ref="U22:U32"/>
    <mergeCell ref="V22:V32"/>
    <mergeCell ref="W22:W32"/>
    <mergeCell ref="X22:X32"/>
    <mergeCell ref="M22:M32"/>
    <mergeCell ref="N22:N32"/>
    <mergeCell ref="O22:O32"/>
    <mergeCell ref="P22:P32"/>
    <mergeCell ref="Q22:Q32"/>
    <mergeCell ref="R22:R32"/>
    <mergeCell ref="I6:J6"/>
    <mergeCell ref="K6:L6"/>
    <mergeCell ref="G22:G32"/>
    <mergeCell ref="H22:H32"/>
    <mergeCell ref="I22:I32"/>
    <mergeCell ref="J22:J32"/>
    <mergeCell ref="K22:K32"/>
    <mergeCell ref="L22:L32"/>
    <mergeCell ref="Q6:R6"/>
    <mergeCell ref="S6:T6"/>
    <mergeCell ref="U6:V6"/>
    <mergeCell ref="A22:A32"/>
    <mergeCell ref="D22:D32"/>
    <mergeCell ref="E22:E32"/>
    <mergeCell ref="F22:F32"/>
    <mergeCell ref="C5:C7"/>
    <mergeCell ref="G6:H6"/>
    <mergeCell ref="B5:B7"/>
    <mergeCell ref="O1:R1"/>
    <mergeCell ref="D5:D7"/>
    <mergeCell ref="W6:X6"/>
    <mergeCell ref="Y6:Z6"/>
    <mergeCell ref="AA6:AB6"/>
    <mergeCell ref="F5:F7"/>
    <mergeCell ref="E5:E7"/>
    <mergeCell ref="M6:N6"/>
    <mergeCell ref="O6:P6"/>
    <mergeCell ref="G5:AB5"/>
    <mergeCell ref="A5:A7"/>
    <mergeCell ref="A3:L3"/>
    <mergeCell ref="C22:C23"/>
    <mergeCell ref="A33:A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Q33:Q36"/>
    <mergeCell ref="R33:R36"/>
    <mergeCell ref="S33:S36"/>
    <mergeCell ref="T33:T36"/>
    <mergeCell ref="U33:U36"/>
    <mergeCell ref="V33:V36"/>
    <mergeCell ref="W33:W36"/>
    <mergeCell ref="X33:X36"/>
    <mergeCell ref="Y33:Y36"/>
    <mergeCell ref="Z33:Z36"/>
    <mergeCell ref="AA33:AA36"/>
    <mergeCell ref="AB33:AB36"/>
    <mergeCell ref="C42:C44"/>
    <mergeCell ref="A42:A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R42:R45"/>
    <mergeCell ref="S42:S45"/>
    <mergeCell ref="T42:T45"/>
    <mergeCell ref="AA42:AA45"/>
    <mergeCell ref="AB42:AB45"/>
    <mergeCell ref="U42:U45"/>
    <mergeCell ref="V42:V45"/>
    <mergeCell ref="W42:W45"/>
    <mergeCell ref="X42:X45"/>
    <mergeCell ref="Y42:Y45"/>
    <mergeCell ref="Z42:Z45"/>
    <mergeCell ref="A78:F78"/>
    <mergeCell ref="A72:F72"/>
    <mergeCell ref="A73:F73"/>
    <mergeCell ref="A74:F74"/>
    <mergeCell ref="A75:F75"/>
    <mergeCell ref="A76:F76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74" r:id="rId35"/>
  <drawing r:id="rId34"/>
  <legacyDrawing r:id="rId33"/>
  <oleObjects>
    <oleObject progId="Equation.3" shapeId="1331590" r:id="rId1"/>
    <oleObject progId="Equation.3" shapeId="1338835" r:id="rId2"/>
    <oleObject progId="Equation.3" shapeId="1488970" r:id="rId3"/>
    <oleObject progId="Equation.3" shapeId="1489704" r:id="rId4"/>
    <oleObject progId="Equation.3" shapeId="1490269" r:id="rId5"/>
    <oleObject progId="Equation.3" shapeId="1510943" r:id="rId6"/>
    <oleObject progId="Equation.3" shapeId="1513330" r:id="rId7"/>
    <oleObject progId="Equation.3" shapeId="667128" r:id="rId8"/>
    <oleObject progId="Equation.3" shapeId="692858" r:id="rId9"/>
    <oleObject progId="Equation.3" shapeId="699224" r:id="rId10"/>
    <oleObject progId="Equation.3" shapeId="860701" r:id="rId11"/>
    <oleObject progId="Equation.3" shapeId="862058" r:id="rId12"/>
    <oleObject progId="Equation.3" shapeId="872759" r:id="rId13"/>
    <oleObject progId="Equation.3" shapeId="918223" r:id="rId14"/>
    <oleObject progId="Equation.3" shapeId="929793" r:id="rId15"/>
    <oleObject progId="Equation.3" shapeId="934688" r:id="rId16"/>
    <oleObject progId="Equation.3" shapeId="941387" r:id="rId17"/>
    <oleObject progId="Equation.3" shapeId="1315766" r:id="rId18"/>
    <oleObject progId="Equation.3" shapeId="1329025" r:id="rId19"/>
    <oleObject progId="Equation.3" shapeId="1402292" r:id="rId20"/>
    <oleObject progId="Equation.3" shapeId="1409844" r:id="rId21"/>
    <oleObject progId="Equation.3" shapeId="1464220" r:id="rId22"/>
    <oleObject progId="Equation.3" shapeId="1501504" r:id="rId23"/>
    <oleObject progId="Equation.3" shapeId="1509874" r:id="rId24"/>
    <oleObject progId="Equation.3" shapeId="1519942" r:id="rId25"/>
    <oleObject progId="Equation.3" shapeId="1525616" r:id="rId26"/>
    <oleObject progId="Equation.3" shapeId="1545515" r:id="rId27"/>
    <oleObject progId="Equation.3" shapeId="1563951" r:id="rId28"/>
    <oleObject progId="Equation.3" shapeId="1568516" r:id="rId29"/>
    <oleObject progId="Equation.3" shapeId="1569696" r:id="rId30"/>
    <oleObject progId="Equation.3" shapeId="1574583" r:id="rId31"/>
    <oleObject progId="Equation.3" shapeId="1578602" r:id="rId3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2020-02-14T11:07:28Z</dcterms:modified>
  <cp:category/>
  <cp:version/>
  <cp:contentType/>
  <cp:contentStatus/>
</cp:coreProperties>
</file>